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goodenoughacuk.sharepoint.com/sites/Registry/Shared Documents/Rent/2026-27/"/>
    </mc:Choice>
  </mc:AlternateContent>
  <xr:revisionPtr revIDLastSave="649" documentId="14_{A84B0407-0639-462C-8785-EECE9A00F836}" xr6:coauthVersionLast="47" xr6:coauthVersionMax="47" xr10:uidLastSave="{E2AB517E-E5ED-42E3-A61D-C627F9E93BE4}"/>
  <bookViews>
    <workbookView xWindow="-120" yWindow="-120" windowWidth="29040" windowHeight="15720" activeTab="2" xr2:uid="{91E92CB3-A636-4F50-9C69-70625DA0D3D4}"/>
  </bookViews>
  <sheets>
    <sheet name="Master" sheetId="1" r:id="rId1"/>
    <sheet name="For website (updated)" sheetId="2" r:id="rId2"/>
    <sheet name="Monthly rents website (updated)" sheetId="4" r:id="rId3"/>
    <sheet name="Rent for Portal pages  (not upd" sheetId="5" r:id="rId4"/>
    <sheet name="Rent for Renewal portal  (not u" sheetId="6" r:id="rId5"/>
    <sheet name="Master + 43-47 predictions  (n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F22" i="2"/>
  <c r="C13" i="4"/>
  <c r="K19" i="4"/>
  <c r="L19" i="4"/>
  <c r="M19" i="4"/>
  <c r="N19" i="4"/>
  <c r="O19" i="4"/>
  <c r="P19" i="4"/>
  <c r="Q19" i="4"/>
  <c r="R19" i="4"/>
  <c r="S19" i="4"/>
  <c r="J19" i="4"/>
  <c r="K18" i="4"/>
  <c r="L18" i="4"/>
  <c r="M18" i="4"/>
  <c r="N18" i="4"/>
  <c r="O18" i="4"/>
  <c r="P18" i="4"/>
  <c r="Q18" i="4"/>
  <c r="R18" i="4"/>
  <c r="S18" i="4"/>
  <c r="J18" i="4"/>
  <c r="K17" i="4"/>
  <c r="L17" i="4"/>
  <c r="M17" i="4"/>
  <c r="N17" i="4"/>
  <c r="O17" i="4"/>
  <c r="P17" i="4"/>
  <c r="Q17" i="4"/>
  <c r="R17" i="4"/>
  <c r="S17" i="4"/>
  <c r="J17" i="4"/>
  <c r="K15" i="4"/>
  <c r="L15" i="4"/>
  <c r="M15" i="4"/>
  <c r="N15" i="4"/>
  <c r="O15" i="4"/>
  <c r="P15" i="4"/>
  <c r="Q15" i="4"/>
  <c r="R15" i="4"/>
  <c r="S15" i="4"/>
  <c r="J15" i="4"/>
  <c r="K14" i="4"/>
  <c r="L14" i="4"/>
  <c r="M14" i="4"/>
  <c r="N14" i="4"/>
  <c r="O14" i="4"/>
  <c r="P14" i="4"/>
  <c r="Q14" i="4"/>
  <c r="R14" i="4"/>
  <c r="S14" i="4"/>
  <c r="J14" i="4"/>
  <c r="K13" i="4"/>
  <c r="L13" i="4"/>
  <c r="M13" i="4"/>
  <c r="N13" i="4"/>
  <c r="O13" i="4"/>
  <c r="P13" i="4"/>
  <c r="Q13" i="4"/>
  <c r="R13" i="4"/>
  <c r="S13" i="4"/>
  <c r="J13" i="4"/>
  <c r="K12" i="4"/>
  <c r="L12" i="4"/>
  <c r="M12" i="4"/>
  <c r="N12" i="4"/>
  <c r="O12" i="4"/>
  <c r="P12" i="4"/>
  <c r="Q12" i="4"/>
  <c r="R12" i="4"/>
  <c r="S12" i="4"/>
  <c r="J12" i="4"/>
  <c r="K11" i="4"/>
  <c r="L11" i="4"/>
  <c r="M11" i="4"/>
  <c r="N11" i="4"/>
  <c r="O11" i="4"/>
  <c r="P11" i="4"/>
  <c r="Q11" i="4"/>
  <c r="R11" i="4"/>
  <c r="S11" i="4"/>
  <c r="J11" i="4"/>
  <c r="K9" i="4"/>
  <c r="L9" i="4"/>
  <c r="M9" i="4"/>
  <c r="N9" i="4"/>
  <c r="O9" i="4"/>
  <c r="P9" i="4"/>
  <c r="Q9" i="4"/>
  <c r="R9" i="4"/>
  <c r="S9" i="4"/>
  <c r="J9" i="4"/>
  <c r="K8" i="4"/>
  <c r="L8" i="4"/>
  <c r="M8" i="4"/>
  <c r="N8" i="4"/>
  <c r="O8" i="4"/>
  <c r="P8" i="4"/>
  <c r="Q8" i="4"/>
  <c r="R8" i="4"/>
  <c r="S8" i="4"/>
  <c r="J8" i="4"/>
  <c r="K7" i="4"/>
  <c r="L7" i="4"/>
  <c r="M7" i="4"/>
  <c r="N7" i="4"/>
  <c r="O7" i="4"/>
  <c r="P7" i="4"/>
  <c r="Q7" i="4"/>
  <c r="R7" i="4"/>
  <c r="S7" i="4"/>
  <c r="J7" i="4"/>
  <c r="K6" i="4"/>
  <c r="L6" i="4"/>
  <c r="M6" i="4"/>
  <c r="N6" i="4"/>
  <c r="O6" i="4"/>
  <c r="P6" i="4"/>
  <c r="Q6" i="4"/>
  <c r="R6" i="4"/>
  <c r="S6" i="4"/>
  <c r="J6" i="4"/>
  <c r="K5" i="4"/>
  <c r="L5" i="4"/>
  <c r="M5" i="4"/>
  <c r="N5" i="4"/>
  <c r="O5" i="4"/>
  <c r="P5" i="4"/>
  <c r="Q5" i="4"/>
  <c r="R5" i="4"/>
  <c r="S5" i="4"/>
  <c r="J5" i="4"/>
  <c r="K4" i="4"/>
  <c r="L4" i="4"/>
  <c r="M4" i="4"/>
  <c r="N4" i="4"/>
  <c r="O4" i="4"/>
  <c r="P4" i="4"/>
  <c r="Q4" i="4"/>
  <c r="R4" i="4"/>
  <c r="S4" i="4"/>
  <c r="J4" i="4"/>
  <c r="H18" i="4"/>
  <c r="H19" i="4"/>
  <c r="H17" i="4"/>
  <c r="H14" i="4"/>
  <c r="H15" i="4"/>
  <c r="H13" i="4"/>
  <c r="H12" i="4"/>
  <c r="H11" i="4"/>
  <c r="H9" i="4"/>
  <c r="H5" i="4"/>
  <c r="H6" i="4"/>
  <c r="I6" i="4" s="1"/>
  <c r="H7" i="4"/>
  <c r="H8" i="4"/>
  <c r="I5" i="4"/>
  <c r="I7" i="4"/>
  <c r="I8" i="4"/>
  <c r="H4" i="4"/>
  <c r="F18" i="4" l="1"/>
  <c r="F19" i="4"/>
  <c r="F17" i="4"/>
  <c r="F14" i="4"/>
  <c r="F15" i="4"/>
  <c r="F13" i="4"/>
  <c r="F12" i="4"/>
  <c r="F11" i="4"/>
  <c r="F9" i="4"/>
  <c r="F5" i="4"/>
  <c r="F6" i="4"/>
  <c r="F7" i="4"/>
  <c r="F8" i="4"/>
  <c r="F4" i="4"/>
  <c r="I4" i="4" s="1"/>
  <c r="E18" i="4"/>
  <c r="E19" i="4"/>
  <c r="E17" i="4"/>
  <c r="E14" i="4"/>
  <c r="E15" i="4"/>
  <c r="E13" i="4"/>
  <c r="E12" i="4"/>
  <c r="E11" i="4"/>
  <c r="E9" i="4"/>
  <c r="E5" i="4"/>
  <c r="E6" i="4"/>
  <c r="E7" i="4"/>
  <c r="E8" i="4"/>
  <c r="E4" i="4"/>
  <c r="D18" i="4"/>
  <c r="D19" i="4"/>
  <c r="D17" i="4"/>
  <c r="D14" i="4"/>
  <c r="D15" i="4"/>
  <c r="D13" i="4"/>
  <c r="D12" i="4"/>
  <c r="D11" i="4"/>
  <c r="D9" i="4"/>
  <c r="D5" i="4"/>
  <c r="D6" i="4"/>
  <c r="D7" i="4"/>
  <c r="D8" i="4"/>
  <c r="D4" i="4"/>
  <c r="C15" i="4"/>
  <c r="C14" i="4"/>
  <c r="G14" i="4"/>
  <c r="I13" i="4"/>
  <c r="G13" i="4"/>
  <c r="C18" i="4"/>
  <c r="C19" i="4"/>
  <c r="C17" i="4"/>
  <c r="C12" i="4"/>
  <c r="C11" i="4"/>
  <c r="C9" i="4"/>
  <c r="C5" i="4"/>
  <c r="C6" i="4"/>
  <c r="C7" i="4"/>
  <c r="C8" i="4"/>
  <c r="C4" i="4"/>
  <c r="G4" i="4" s="1"/>
  <c r="F33" i="2"/>
  <c r="F32" i="2"/>
  <c r="E33" i="2"/>
  <c r="E32" i="2"/>
  <c r="D32" i="2"/>
  <c r="C33" i="2"/>
  <c r="C32" i="2"/>
  <c r="E28" i="2"/>
  <c r="E27" i="2"/>
  <c r="E26" i="2"/>
  <c r="B28" i="2"/>
  <c r="B27" i="2"/>
  <c r="B26" i="2"/>
  <c r="F21" i="2"/>
  <c r="D22" i="2"/>
  <c r="D21" i="2"/>
  <c r="C22" i="2"/>
  <c r="C21" i="2"/>
  <c r="E22" i="2"/>
  <c r="E21" i="2"/>
  <c r="E20" i="2"/>
  <c r="E19" i="2"/>
  <c r="E18" i="2"/>
  <c r="C19" i="2"/>
  <c r="C18" i="2"/>
  <c r="B22" i="2"/>
  <c r="B21" i="2"/>
  <c r="B20" i="2"/>
  <c r="B19" i="2"/>
  <c r="B18" i="2"/>
  <c r="F14" i="2"/>
  <c r="F13" i="2"/>
  <c r="F12" i="2"/>
  <c r="E14" i="2"/>
  <c r="E13" i="2"/>
  <c r="E12" i="2"/>
  <c r="D14" i="2"/>
  <c r="D13" i="2"/>
  <c r="D12" i="2"/>
  <c r="C14" i="2"/>
  <c r="C13" i="2"/>
  <c r="C12" i="2"/>
  <c r="F9" i="2"/>
  <c r="F8" i="2"/>
  <c r="F7" i="2"/>
  <c r="E9" i="2"/>
  <c r="E8" i="2"/>
  <c r="E7" i="2"/>
  <c r="D9" i="2"/>
  <c r="D8" i="2"/>
  <c r="D7" i="2"/>
  <c r="C9" i="2"/>
  <c r="C8" i="2"/>
  <c r="C7" i="2"/>
  <c r="B9" i="2"/>
  <c r="B8" i="2"/>
  <c r="B7" i="2"/>
  <c r="AB14" i="1"/>
  <c r="H11" i="1"/>
  <c r="H12" i="1"/>
  <c r="H13" i="1"/>
  <c r="H14" i="1"/>
  <c r="H15" i="1"/>
  <c r="H16" i="1"/>
  <c r="H17" i="1"/>
  <c r="H10" i="1"/>
  <c r="AA13" i="1"/>
  <c r="I14" i="4" l="1"/>
  <c r="I14" i="1"/>
  <c r="I13" i="1"/>
  <c r="K13" i="1" s="1"/>
  <c r="L13" i="1" s="1"/>
  <c r="N14" i="1" l="1"/>
  <c r="K14" i="1"/>
  <c r="Q14" i="1" s="1"/>
  <c r="AD14" i="1" s="1"/>
  <c r="N13" i="1"/>
  <c r="M13" i="1"/>
  <c r="P13" i="1"/>
  <c r="Y13" i="1" s="1"/>
  <c r="Q13" i="1"/>
  <c r="AD13" i="1" s="1"/>
  <c r="S13" i="1"/>
  <c r="R13" i="1" s="1"/>
  <c r="U13" i="1"/>
  <c r="AC13" i="1"/>
  <c r="S14" i="1" l="1"/>
  <c r="R14" i="1" s="1"/>
  <c r="P14" i="1"/>
  <c r="Y14" i="1" s="1"/>
  <c r="U14" i="1"/>
  <c r="AC14" i="1"/>
  <c r="M14" i="1"/>
  <c r="L14" i="1"/>
  <c r="T14" i="1"/>
  <c r="O14" i="1"/>
  <c r="T13" i="1"/>
  <c r="X13" i="1" s="1"/>
  <c r="O13" i="1"/>
  <c r="Z14" i="1" l="1"/>
  <c r="X14" i="1"/>
  <c r="V14" i="1"/>
  <c r="Z13" i="1"/>
  <c r="AB13" i="1" s="1"/>
  <c r="V13" i="1"/>
  <c r="H3" i="1"/>
  <c r="I3" i="1" s="1"/>
  <c r="K3" i="1" s="1"/>
  <c r="P3" i="1" l="1"/>
  <c r="L3" i="1"/>
  <c r="H4" i="1"/>
  <c r="I4" i="1" s="1"/>
  <c r="K4" i="1" s="1"/>
  <c r="L4" i="1" s="1"/>
  <c r="H5" i="1"/>
  <c r="I5" i="1" s="1"/>
  <c r="K5" i="1" s="1"/>
  <c r="H6" i="1"/>
  <c r="I6" i="1" s="1"/>
  <c r="K6" i="1" s="1"/>
  <c r="L6" i="1" s="1"/>
  <c r="H7" i="1"/>
  <c r="I7" i="1" s="1"/>
  <c r="H8" i="1"/>
  <c r="I8" i="1" s="1"/>
  <c r="I10" i="1"/>
  <c r="I11" i="1"/>
  <c r="I12" i="1"/>
  <c r="I15" i="1"/>
  <c r="I16" i="1"/>
  <c r="I17" i="1"/>
  <c r="L5" i="1" l="1"/>
  <c r="S5" i="1"/>
  <c r="R5" i="1" s="1"/>
  <c r="C31" i="7"/>
  <c r="R30" i="7"/>
  <c r="C30" i="7"/>
  <c r="AH29" i="7"/>
  <c r="V29" i="7"/>
  <c r="U29" i="7"/>
  <c r="U31" i="7" s="1"/>
  <c r="R29" i="7"/>
  <c r="C29" i="7"/>
  <c r="V28" i="7"/>
  <c r="U27" i="7"/>
  <c r="M26" i="7"/>
  <c r="L26" i="7"/>
  <c r="K26" i="7"/>
  <c r="J26" i="7"/>
  <c r="M25" i="7"/>
  <c r="L25" i="7"/>
  <c r="M24" i="7"/>
  <c r="L24" i="7"/>
  <c r="M23" i="7"/>
  <c r="L23" i="7"/>
  <c r="J23" i="7"/>
  <c r="K23" i="7" s="1"/>
  <c r="L22" i="7"/>
  <c r="G22" i="7"/>
  <c r="F22" i="7"/>
  <c r="AU21" i="7"/>
  <c r="AP21" i="7"/>
  <c r="AM21" i="7"/>
  <c r="AI21" i="7"/>
  <c r="AH21" i="7"/>
  <c r="AG21" i="7"/>
  <c r="AF21" i="7"/>
  <c r="AE21" i="7"/>
  <c r="AD21" i="7"/>
  <c r="AC21" i="7"/>
  <c r="AB21" i="7"/>
  <c r="W21" i="7"/>
  <c r="T21" i="7"/>
  <c r="R21" i="7"/>
  <c r="O21" i="7"/>
  <c r="M21" i="7"/>
  <c r="L21" i="7"/>
  <c r="J21" i="7"/>
  <c r="K21" i="7" s="1"/>
  <c r="F21" i="7"/>
  <c r="E21" i="7"/>
  <c r="AU20" i="7"/>
  <c r="AP20" i="7"/>
  <c r="AM20" i="7"/>
  <c r="AH20" i="7"/>
  <c r="AO20" i="7" s="1"/>
  <c r="AQ20" i="7" s="1"/>
  <c r="AG20" i="7"/>
  <c r="AF20" i="7"/>
  <c r="AE20" i="7"/>
  <c r="AD20" i="7"/>
  <c r="AA20" i="7"/>
  <c r="AS20" i="7" s="1"/>
  <c r="AT20" i="7" s="1"/>
  <c r="Z20" i="7"/>
  <c r="AN20" i="7" s="1"/>
  <c r="W20" i="7"/>
  <c r="T20" i="7"/>
  <c r="AI20" i="7" s="1"/>
  <c r="R20" i="7"/>
  <c r="O20" i="7"/>
  <c r="M20" i="7"/>
  <c r="L20" i="7"/>
  <c r="K20" i="7"/>
  <c r="J20" i="7"/>
  <c r="F20" i="7"/>
  <c r="E20" i="7"/>
  <c r="AU19" i="7"/>
  <c r="AS19" i="7"/>
  <c r="AT19" i="7" s="1"/>
  <c r="AR19" i="7"/>
  <c r="AP19" i="7"/>
  <c r="AM19" i="7"/>
  <c r="AG19" i="7"/>
  <c r="AF19" i="7"/>
  <c r="AE19" i="7"/>
  <c r="AD19" i="7"/>
  <c r="AC19" i="7"/>
  <c r="AB19" i="7"/>
  <c r="AA19" i="7"/>
  <c r="Z19" i="7"/>
  <c r="AN19" i="7" s="1"/>
  <c r="W19" i="7"/>
  <c r="AH19" i="7" s="1"/>
  <c r="AO19" i="7" s="1"/>
  <c r="AQ19" i="7" s="1"/>
  <c r="T19" i="7"/>
  <c r="AI19" i="7" s="1"/>
  <c r="R19" i="7"/>
  <c r="O19" i="7"/>
  <c r="M19" i="7"/>
  <c r="L19" i="7"/>
  <c r="J19" i="7"/>
  <c r="K19" i="7" s="1"/>
  <c r="F19" i="7"/>
  <c r="E19" i="7"/>
  <c r="AU18" i="7"/>
  <c r="AR18" i="7"/>
  <c r="AP18" i="7"/>
  <c r="AM18" i="7"/>
  <c r="AI18" i="7"/>
  <c r="AH18" i="7"/>
  <c r="AG18" i="7"/>
  <c r="AF18" i="7"/>
  <c r="AE18" i="7"/>
  <c r="AD18" i="7"/>
  <c r="AC18" i="7"/>
  <c r="AB18" i="7"/>
  <c r="AA18" i="7"/>
  <c r="AS18" i="7" s="1"/>
  <c r="AT18" i="7" s="1"/>
  <c r="Z18" i="7"/>
  <c r="AN18" i="7" s="1"/>
  <c r="W18" i="7"/>
  <c r="T18" i="7"/>
  <c r="V18" i="7" s="1"/>
  <c r="R18" i="7"/>
  <c r="O18" i="7"/>
  <c r="M18" i="7"/>
  <c r="L18" i="7"/>
  <c r="J18" i="7"/>
  <c r="J24" i="7" s="1"/>
  <c r="K24" i="7" s="1"/>
  <c r="F18" i="7"/>
  <c r="E18" i="7"/>
  <c r="AU17" i="7"/>
  <c r="AP17" i="7"/>
  <c r="AM17" i="7"/>
  <c r="AI17" i="7"/>
  <c r="AG17" i="7"/>
  <c r="AF17" i="7"/>
  <c r="AE17" i="7"/>
  <c r="AD17" i="7"/>
  <c r="W17" i="7"/>
  <c r="AH17" i="7" s="1"/>
  <c r="V17" i="7"/>
  <c r="T17" i="7"/>
  <c r="R17" i="7"/>
  <c r="O17" i="7"/>
  <c r="M17" i="7"/>
  <c r="L17" i="7"/>
  <c r="J17" i="7"/>
  <c r="K17" i="7" s="1"/>
  <c r="F17" i="7"/>
  <c r="E17" i="7"/>
  <c r="AU16" i="7"/>
  <c r="AR16" i="7"/>
  <c r="AP16" i="7"/>
  <c r="AO16" i="7"/>
  <c r="AQ16" i="7" s="1"/>
  <c r="AM16" i="7"/>
  <c r="AL16" i="7"/>
  <c r="AH16" i="7"/>
  <c r="AG16" i="7"/>
  <c r="AF16" i="7"/>
  <c r="AE16" i="7"/>
  <c r="AD16" i="7"/>
  <c r="AC16" i="7"/>
  <c r="AB16" i="7"/>
  <c r="AA16" i="7"/>
  <c r="AS16" i="7" s="1"/>
  <c r="AT16" i="7" s="1"/>
  <c r="Z16" i="7"/>
  <c r="AN16" i="7" s="1"/>
  <c r="W16" i="7"/>
  <c r="T16" i="7"/>
  <c r="V16" i="7" s="1"/>
  <c r="R16" i="7"/>
  <c r="O16" i="7"/>
  <c r="M16" i="7"/>
  <c r="L16" i="7"/>
  <c r="J16" i="7"/>
  <c r="K16" i="7" s="1"/>
  <c r="F16" i="7"/>
  <c r="E16" i="7"/>
  <c r="L15" i="7"/>
  <c r="AU14" i="7"/>
  <c r="AS14" i="7"/>
  <c r="AT14" i="7" s="1"/>
  <c r="AR14" i="7"/>
  <c r="AP14" i="7"/>
  <c r="AI14" i="7"/>
  <c r="AG14" i="7"/>
  <c r="AF14" i="7"/>
  <c r="AE14" i="7"/>
  <c r="AD14" i="7"/>
  <c r="AC14" i="7"/>
  <c r="AB14" i="7"/>
  <c r="AA14" i="7"/>
  <c r="Z14" i="7"/>
  <c r="AN14" i="7" s="1"/>
  <c r="W14" i="7"/>
  <c r="AH14" i="7" s="1"/>
  <c r="AO14" i="7" s="1"/>
  <c r="AQ14" i="7" s="1"/>
  <c r="V14" i="7"/>
  <c r="T14" i="7"/>
  <c r="R14" i="7"/>
  <c r="O14" i="7"/>
  <c r="M14" i="7"/>
  <c r="L14" i="7"/>
  <c r="J14" i="7"/>
  <c r="K14" i="7" s="1"/>
  <c r="F14" i="7"/>
  <c r="E14" i="7"/>
  <c r="AU12" i="7"/>
  <c r="AS12" i="7"/>
  <c r="AR12" i="7"/>
  <c r="AI12" i="7"/>
  <c r="AG12" i="7"/>
  <c r="AF12" i="7"/>
  <c r="AE12" i="7"/>
  <c r="AD12" i="7"/>
  <c r="AC12" i="7"/>
  <c r="AB12" i="7"/>
  <c r="AA12" i="7"/>
  <c r="Z12" i="7"/>
  <c r="AN12" i="7" s="1"/>
  <c r="W12" i="7"/>
  <c r="AH12" i="7" s="1"/>
  <c r="V12" i="7"/>
  <c r="T12" i="7"/>
  <c r="AU11" i="7"/>
  <c r="AG11" i="7"/>
  <c r="AF11" i="7"/>
  <c r="AE11" i="7"/>
  <c r="AD11" i="7"/>
  <c r="Z11" i="7"/>
  <c r="AN11" i="7" s="1"/>
  <c r="W11" i="7"/>
  <c r="AH11" i="7" s="1"/>
  <c r="T11" i="7"/>
  <c r="AI11" i="7" s="1"/>
  <c r="R11" i="7"/>
  <c r="AU10" i="7"/>
  <c r="AR10" i="7"/>
  <c r="AO10" i="7"/>
  <c r="AI10" i="7"/>
  <c r="AG10" i="7"/>
  <c r="AF10" i="7"/>
  <c r="AE10" i="7"/>
  <c r="AD10" i="7"/>
  <c r="AC10" i="7"/>
  <c r="AB10" i="7" s="1"/>
  <c r="AA10" i="7"/>
  <c r="AS10" i="7" s="1"/>
  <c r="Z10" i="7"/>
  <c r="AN10" i="7" s="1"/>
  <c r="W10" i="7"/>
  <c r="AH10" i="7" s="1"/>
  <c r="V10" i="7"/>
  <c r="T10" i="7"/>
  <c r="AU9" i="7"/>
  <c r="AI9" i="7"/>
  <c r="AH9" i="7"/>
  <c r="AL9" i="7" s="1"/>
  <c r="AG9" i="7"/>
  <c r="AF9" i="7"/>
  <c r="AE9" i="7"/>
  <c r="AD9" i="7"/>
  <c r="W9" i="7"/>
  <c r="T9" i="7"/>
  <c r="V9" i="7" s="1"/>
  <c r="R9" i="7"/>
  <c r="AU8" i="7"/>
  <c r="AS8" i="7"/>
  <c r="AT8" i="7" s="1"/>
  <c r="AR8" i="7"/>
  <c r="AP8" i="7"/>
  <c r="AI8" i="7"/>
  <c r="AJ8" i="7" s="1"/>
  <c r="AH8" i="7"/>
  <c r="AG8" i="7"/>
  <c r="AF8" i="7"/>
  <c r="AE8" i="7"/>
  <c r="AD8" i="7"/>
  <c r="AC8" i="7"/>
  <c r="AB8" i="7"/>
  <c r="AA8" i="7"/>
  <c r="W8" i="7"/>
  <c r="T8" i="7"/>
  <c r="Z8" i="7" s="1"/>
  <c r="AN8" i="7" s="1"/>
  <c r="R8" i="7"/>
  <c r="O8" i="7"/>
  <c r="E8" i="7"/>
  <c r="E22" i="7" s="1"/>
  <c r="AU7" i="7"/>
  <c r="AS7" i="7"/>
  <c r="AT7" i="7" s="1"/>
  <c r="AR7" i="7"/>
  <c r="AP7" i="7"/>
  <c r="AI7" i="7"/>
  <c r="AH7" i="7"/>
  <c r="AG7" i="7"/>
  <c r="AF7" i="7"/>
  <c r="AE7" i="7"/>
  <c r="AD7" i="7"/>
  <c r="AC7" i="7"/>
  <c r="AB7" i="7"/>
  <c r="AA7" i="7"/>
  <c r="Z7" i="7"/>
  <c r="AN7" i="7" s="1"/>
  <c r="W7" i="7"/>
  <c r="T7" i="7"/>
  <c r="V7" i="7" s="1"/>
  <c r="R7" i="7"/>
  <c r="R12" i="7" s="1"/>
  <c r="O7" i="7"/>
  <c r="M7" i="7"/>
  <c r="L7" i="7"/>
  <c r="J7" i="7"/>
  <c r="K7" i="7" s="1"/>
  <c r="AU6" i="7"/>
  <c r="AR6" i="7"/>
  <c r="AP6" i="7"/>
  <c r="AI6" i="7"/>
  <c r="AH6" i="7"/>
  <c r="AG6" i="7"/>
  <c r="AF6" i="7"/>
  <c r="AE6" i="7"/>
  <c r="AD6" i="7"/>
  <c r="AC6" i="7"/>
  <c r="AB6" i="7"/>
  <c r="AA6" i="7"/>
  <c r="AS6" i="7" s="1"/>
  <c r="AT6" i="7" s="1"/>
  <c r="Z6" i="7"/>
  <c r="AN6" i="7" s="1"/>
  <c r="W6" i="7"/>
  <c r="T6" i="7"/>
  <c r="C32" i="7" s="1"/>
  <c r="R6" i="7"/>
  <c r="R10" i="7" s="1"/>
  <c r="O6" i="7"/>
  <c r="M6" i="7"/>
  <c r="L6" i="7"/>
  <c r="J6" i="7"/>
  <c r="K6" i="7" s="1"/>
  <c r="AU5" i="7"/>
  <c r="AS5" i="7"/>
  <c r="AT5" i="7" s="1"/>
  <c r="AR5" i="7"/>
  <c r="AP5" i="7"/>
  <c r="AI5" i="7"/>
  <c r="AJ5" i="7" s="1"/>
  <c r="AH5" i="7"/>
  <c r="AG5" i="7"/>
  <c r="AF5" i="7"/>
  <c r="AE5" i="7"/>
  <c r="AD5" i="7"/>
  <c r="AC5" i="7"/>
  <c r="AB5" i="7"/>
  <c r="AA5" i="7"/>
  <c r="W5" i="7"/>
  <c r="T5" i="7"/>
  <c r="Z5" i="7" s="1"/>
  <c r="AN5" i="7" s="1"/>
  <c r="R5" i="7"/>
  <c r="O5" i="7"/>
  <c r="M5" i="7"/>
  <c r="L5" i="7"/>
  <c r="J5" i="7"/>
  <c r="K5" i="7" s="1"/>
  <c r="AU4" i="7"/>
  <c r="AR4" i="7"/>
  <c r="AP4" i="7"/>
  <c r="AI4" i="7"/>
  <c r="AH4" i="7"/>
  <c r="AO4" i="7" s="1"/>
  <c r="AQ4" i="7" s="1"/>
  <c r="AG4" i="7"/>
  <c r="AF4" i="7"/>
  <c r="AE4" i="7"/>
  <c r="AD4" i="7"/>
  <c r="W4" i="7"/>
  <c r="T4" i="7"/>
  <c r="R4" i="7"/>
  <c r="O4" i="7"/>
  <c r="M4" i="7"/>
  <c r="L4" i="7"/>
  <c r="J4" i="7"/>
  <c r="K4" i="7" s="1"/>
  <c r="AU3" i="7"/>
  <c r="AP3" i="7"/>
  <c r="AH3" i="7"/>
  <c r="AO3" i="7" s="1"/>
  <c r="AQ3" i="7" s="1"/>
  <c r="AG3" i="7"/>
  <c r="AF3" i="7"/>
  <c r="AE3" i="7"/>
  <c r="AD3" i="7"/>
  <c r="AC3" i="7"/>
  <c r="AB3" i="7" s="1"/>
  <c r="W3" i="7"/>
  <c r="T3" i="7"/>
  <c r="AI3" i="7" s="1"/>
  <c r="R3" i="7"/>
  <c r="O3" i="7"/>
  <c r="M3" i="7"/>
  <c r="L3" i="7"/>
  <c r="J3" i="7"/>
  <c r="K3" i="7" s="1"/>
  <c r="E18" i="1"/>
  <c r="AO17" i="7" l="1"/>
  <c r="AQ17" i="7" s="1"/>
  <c r="AL17" i="7"/>
  <c r="AJ17" i="7"/>
  <c r="AO11" i="7"/>
  <c r="AL11" i="7"/>
  <c r="AJ11" i="7"/>
  <c r="AL4" i="7"/>
  <c r="AL7" i="7"/>
  <c r="AJ7" i="7"/>
  <c r="AO9" i="7"/>
  <c r="K18" i="7"/>
  <c r="AA4" i="7"/>
  <c r="AS4" i="7" s="1"/>
  <c r="AT4" i="7" s="1"/>
  <c r="Z4" i="7"/>
  <c r="AN4" i="7" s="1"/>
  <c r="V4" i="7"/>
  <c r="AR9" i="7"/>
  <c r="AL18" i="7"/>
  <c r="AJ18" i="7"/>
  <c r="AJ19" i="7"/>
  <c r="AL19" i="7"/>
  <c r="AJ9" i="7"/>
  <c r="AO21" i="7"/>
  <c r="AQ21" i="7" s="1"/>
  <c r="AL21" i="7"/>
  <c r="AO7" i="7"/>
  <c r="AQ7" i="7" s="1"/>
  <c r="AJ21" i="7"/>
  <c r="AC9" i="7"/>
  <c r="AB9" i="7" s="1"/>
  <c r="AA9" i="7"/>
  <c r="AS9" i="7" s="1"/>
  <c r="AJ3" i="7"/>
  <c r="AL28" i="7" s="1"/>
  <c r="AO6" i="7"/>
  <c r="AQ6" i="7" s="1"/>
  <c r="AL6" i="7"/>
  <c r="AJ6" i="7"/>
  <c r="AL3" i="7"/>
  <c r="AJ20" i="7"/>
  <c r="AC4" i="7"/>
  <c r="AB4" i="7" s="1"/>
  <c r="Z9" i="7"/>
  <c r="AN9" i="7" s="1"/>
  <c r="AI16" i="7"/>
  <c r="AJ16" i="7" s="1"/>
  <c r="AO18" i="7"/>
  <c r="AQ18" i="7" s="1"/>
  <c r="AL20" i="7"/>
  <c r="AA21" i="7"/>
  <c r="AS21" i="7" s="1"/>
  <c r="AT21" i="7" s="1"/>
  <c r="Z21" i="7"/>
  <c r="AN21" i="7" s="1"/>
  <c r="V21" i="7"/>
  <c r="AR21" i="7"/>
  <c r="J25" i="7"/>
  <c r="K25" i="7" s="1"/>
  <c r="AO5" i="7"/>
  <c r="AQ5" i="7" s="1"/>
  <c r="AL5" i="7"/>
  <c r="AH28" i="7"/>
  <c r="AH30" i="7" s="1"/>
  <c r="AO8" i="7"/>
  <c r="AQ8" i="7" s="1"/>
  <c r="AL8" i="7"/>
  <c r="AL10" i="7"/>
  <c r="AJ10" i="7"/>
  <c r="V19" i="7"/>
  <c r="R31" i="7"/>
  <c r="AJ4" i="7"/>
  <c r="AL12" i="7"/>
  <c r="AJ12" i="7"/>
  <c r="AR3" i="7"/>
  <c r="AA3" i="7"/>
  <c r="AS3" i="7" s="1"/>
  <c r="AT3" i="7" s="1"/>
  <c r="Z3" i="7"/>
  <c r="AN3" i="7" s="1"/>
  <c r="AR20" i="7"/>
  <c r="AC20" i="7"/>
  <c r="AB20" i="7" s="1"/>
  <c r="V3" i="7"/>
  <c r="AC11" i="7"/>
  <c r="AB11" i="7" s="1"/>
  <c r="AA11" i="7"/>
  <c r="AS11" i="7" s="1"/>
  <c r="AR11" i="7"/>
  <c r="V20" i="7"/>
  <c r="V11" i="7"/>
  <c r="AO12" i="7"/>
  <c r="AL14" i="7"/>
  <c r="AJ14" i="7"/>
  <c r="AR17" i="7"/>
  <c r="AC17" i="7"/>
  <c r="AB17" i="7" s="1"/>
  <c r="AA17" i="7"/>
  <c r="AS17" i="7" s="1"/>
  <c r="AT17" i="7" s="1"/>
  <c r="Z17" i="7"/>
  <c r="AN17" i="7" s="1"/>
  <c r="V5" i="7"/>
  <c r="V8" i="7"/>
  <c r="V6" i="7"/>
  <c r="I9" i="4" l="1"/>
  <c r="I11" i="4"/>
  <c r="I12" i="4"/>
  <c r="I15" i="4"/>
  <c r="I17" i="4"/>
  <c r="I18" i="4"/>
  <c r="I19" i="4"/>
  <c r="G11" i="4"/>
  <c r="G12" i="4"/>
  <c r="G15" i="4"/>
  <c r="G17" i="4"/>
  <c r="G18" i="4"/>
  <c r="G19" i="4"/>
  <c r="G5" i="4"/>
  <c r="G6" i="4"/>
  <c r="G7" i="4"/>
  <c r="G8" i="4"/>
  <c r="G9" i="4"/>
  <c r="AC6" i="1" l="1"/>
  <c r="U6" i="1"/>
  <c r="AA17" i="1"/>
  <c r="N17" i="1"/>
  <c r="K17" i="1"/>
  <c r="AA16" i="1"/>
  <c r="N16" i="1"/>
  <c r="K16" i="1"/>
  <c r="AA15" i="1"/>
  <c r="N15" i="1"/>
  <c r="K15" i="1"/>
  <c r="AA12" i="1"/>
  <c r="N12" i="1"/>
  <c r="K12" i="1"/>
  <c r="AA11" i="1"/>
  <c r="N11" i="1"/>
  <c r="K11" i="1"/>
  <c r="AA10" i="1"/>
  <c r="N10" i="1"/>
  <c r="K10" i="1"/>
  <c r="AA8" i="1"/>
  <c r="N8" i="1"/>
  <c r="K8" i="1"/>
  <c r="AA7" i="1"/>
  <c r="N7" i="1"/>
  <c r="K7" i="1"/>
  <c r="L7" i="1" s="1"/>
  <c r="AA6" i="1"/>
  <c r="Q6" i="1"/>
  <c r="N6" i="1"/>
  <c r="M6" i="1"/>
  <c r="AA5" i="1"/>
  <c r="N5" i="1"/>
  <c r="P5" i="1"/>
  <c r="AA4" i="1"/>
  <c r="N4" i="1"/>
  <c r="S4" i="1"/>
  <c r="AA3" i="1"/>
  <c r="N3" i="1"/>
  <c r="O3" i="1" s="1"/>
  <c r="U3" i="1"/>
  <c r="S17" i="1" l="1"/>
  <c r="L17" i="1"/>
  <c r="T17" i="1"/>
  <c r="O17" i="1"/>
  <c r="U12" i="1"/>
  <c r="L12" i="1"/>
  <c r="T12" i="1"/>
  <c r="Z12" i="1" s="1"/>
  <c r="O12" i="1"/>
  <c r="AC16" i="1"/>
  <c r="L16" i="1"/>
  <c r="T16" i="1"/>
  <c r="Z16" i="1" s="1"/>
  <c r="AB16" i="1" s="1"/>
  <c r="O16" i="1"/>
  <c r="S15" i="1"/>
  <c r="R15" i="1" s="1"/>
  <c r="L15" i="1"/>
  <c r="T15" i="1"/>
  <c r="Z15" i="1" s="1"/>
  <c r="AB15" i="1" s="1"/>
  <c r="O15" i="1"/>
  <c r="AC10" i="1"/>
  <c r="L10" i="1"/>
  <c r="T10" i="1"/>
  <c r="Z10" i="1" s="1"/>
  <c r="AB10" i="1" s="1"/>
  <c r="O10" i="1"/>
  <c r="M8" i="1"/>
  <c r="L8" i="1"/>
  <c r="T8" i="1"/>
  <c r="X8" i="1" s="1"/>
  <c r="O8" i="1"/>
  <c r="T7" i="1"/>
  <c r="Z7" i="1" s="1"/>
  <c r="AB7" i="1" s="1"/>
  <c r="O7" i="1"/>
  <c r="T6" i="1"/>
  <c r="X6" i="1" s="1"/>
  <c r="O6" i="1"/>
  <c r="T5" i="1"/>
  <c r="X5" i="1" s="1"/>
  <c r="O5" i="1"/>
  <c r="T4" i="1"/>
  <c r="X4" i="1" s="1"/>
  <c r="O4" i="1"/>
  <c r="S11" i="1"/>
  <c r="L11" i="1"/>
  <c r="T11" i="1"/>
  <c r="X11" i="1" s="1"/>
  <c r="O11" i="1"/>
  <c r="AB12" i="1"/>
  <c r="F20" i="2" s="1"/>
  <c r="P7" i="1"/>
  <c r="Y7" i="1" s="1"/>
  <c r="R11" i="1"/>
  <c r="E8" i="6"/>
  <c r="R4" i="1"/>
  <c r="E3" i="6"/>
  <c r="R17" i="1"/>
  <c r="E16" i="6"/>
  <c r="AD6" i="1"/>
  <c r="E5" i="5"/>
  <c r="D5" i="6"/>
  <c r="Y5" i="1"/>
  <c r="D4" i="5"/>
  <c r="C4" i="6"/>
  <c r="U11" i="1"/>
  <c r="AC5" i="1"/>
  <c r="S10" i="1"/>
  <c r="U10" i="1"/>
  <c r="U15" i="1"/>
  <c r="V15" i="1" s="1"/>
  <c r="U17" i="1"/>
  <c r="AC17" i="1"/>
  <c r="U16" i="1"/>
  <c r="AC15" i="1"/>
  <c r="AC12" i="1"/>
  <c r="AC11" i="1"/>
  <c r="U8" i="1"/>
  <c r="AC8" i="1"/>
  <c r="U7" i="1"/>
  <c r="AC7" i="1"/>
  <c r="U5" i="1"/>
  <c r="V5" i="1" s="1"/>
  <c r="U4" i="1"/>
  <c r="AC4" i="1"/>
  <c r="T3" i="1"/>
  <c r="Z3" i="1" s="1"/>
  <c r="AB3" i="1" s="1"/>
  <c r="Q3" i="1"/>
  <c r="AC3" i="1"/>
  <c r="S3" i="1"/>
  <c r="S12" i="1"/>
  <c r="P4" i="1"/>
  <c r="S7" i="1"/>
  <c r="Q15" i="1"/>
  <c r="M7" i="1"/>
  <c r="M15" i="1"/>
  <c r="P8" i="1"/>
  <c r="Q11" i="1"/>
  <c r="Q17" i="1"/>
  <c r="M3" i="1"/>
  <c r="M11" i="1"/>
  <c r="S16" i="1"/>
  <c r="M17" i="1"/>
  <c r="S6" i="1"/>
  <c r="P6" i="1"/>
  <c r="X15" i="1"/>
  <c r="M5" i="1"/>
  <c r="Z5" i="1"/>
  <c r="AB5" i="1" s="1"/>
  <c r="Z4" i="1"/>
  <c r="AB4" i="1" s="1"/>
  <c r="Q5" i="1"/>
  <c r="X17" i="1"/>
  <c r="Z17" i="1"/>
  <c r="AB17" i="1" s="1"/>
  <c r="M4" i="1"/>
  <c r="Q7" i="1"/>
  <c r="S8" i="1"/>
  <c r="P11" i="1"/>
  <c r="P15" i="1"/>
  <c r="P17" i="1"/>
  <c r="Q8" i="1"/>
  <c r="P10" i="1"/>
  <c r="P12" i="1"/>
  <c r="P16" i="1"/>
  <c r="Q4" i="1"/>
  <c r="M10" i="1"/>
  <c r="Q10" i="1"/>
  <c r="M12" i="1"/>
  <c r="Q12" i="1"/>
  <c r="M16" i="1"/>
  <c r="Q16" i="1"/>
  <c r="V17" i="1" l="1"/>
  <c r="X10" i="1"/>
  <c r="V6" i="1"/>
  <c r="Z8" i="1"/>
  <c r="AB8" i="1" s="1"/>
  <c r="F18" i="2" s="1"/>
  <c r="V8" i="1"/>
  <c r="X16" i="1"/>
  <c r="X7" i="1"/>
  <c r="X12" i="1"/>
  <c r="V12" i="1"/>
  <c r="V10" i="1"/>
  <c r="V4" i="1"/>
  <c r="D6" i="5"/>
  <c r="C12" i="5"/>
  <c r="E14" i="6"/>
  <c r="V7" i="1"/>
  <c r="V16" i="1"/>
  <c r="Z11" i="1"/>
  <c r="AB11" i="1" s="1"/>
  <c r="V11" i="1"/>
  <c r="Z6" i="1"/>
  <c r="AB6" i="1" s="1"/>
  <c r="C5" i="5" s="1"/>
  <c r="V3" i="1"/>
  <c r="C6" i="6"/>
  <c r="X3" i="1"/>
  <c r="C2" i="5"/>
  <c r="C3" i="5"/>
  <c r="F19" i="2"/>
  <c r="C11" i="5"/>
  <c r="R6" i="1"/>
  <c r="E5" i="6"/>
  <c r="R10" i="1"/>
  <c r="E11" i="6"/>
  <c r="E7" i="5"/>
  <c r="D7" i="6"/>
  <c r="E7" i="6"/>
  <c r="F27" i="2"/>
  <c r="C15" i="5"/>
  <c r="AD10" i="1"/>
  <c r="E11" i="5"/>
  <c r="D11" i="6"/>
  <c r="D19" i="2"/>
  <c r="F28" i="2"/>
  <c r="C16" i="5"/>
  <c r="C4" i="5"/>
  <c r="Y4" i="1"/>
  <c r="D3" i="5"/>
  <c r="C3" i="6"/>
  <c r="Y16" i="1"/>
  <c r="C27" i="2"/>
  <c r="D15" i="5"/>
  <c r="AD17" i="1"/>
  <c r="D16" i="6"/>
  <c r="D28" i="2"/>
  <c r="E16" i="5"/>
  <c r="Y12" i="1"/>
  <c r="C12" i="6"/>
  <c r="C20" i="2"/>
  <c r="D12" i="5"/>
  <c r="E4" i="6"/>
  <c r="C7" i="5"/>
  <c r="AD16" i="1"/>
  <c r="D15" i="6"/>
  <c r="E15" i="5"/>
  <c r="D27" i="2"/>
  <c r="Y15" i="1"/>
  <c r="C26" i="2"/>
  <c r="D14" i="5"/>
  <c r="AD5" i="1"/>
  <c r="E4" i="5"/>
  <c r="D4" i="6"/>
  <c r="Y3" i="1"/>
  <c r="C2" i="6"/>
  <c r="D2" i="5"/>
  <c r="AD15" i="1"/>
  <c r="D14" i="6"/>
  <c r="D26" i="2"/>
  <c r="E14" i="5"/>
  <c r="AD4" i="1"/>
  <c r="E3" i="5"/>
  <c r="D3" i="6"/>
  <c r="Y17" i="1"/>
  <c r="C28" i="2"/>
  <c r="D16" i="5"/>
  <c r="C7" i="6"/>
  <c r="D7" i="5"/>
  <c r="C14" i="5"/>
  <c r="F26" i="2"/>
  <c r="AD3" i="1"/>
  <c r="E2" i="5"/>
  <c r="D2" i="6"/>
  <c r="AD7" i="1"/>
  <c r="E6" i="5"/>
  <c r="D6" i="6"/>
  <c r="R7" i="1"/>
  <c r="E6" i="6"/>
  <c r="AD8" i="1"/>
  <c r="E10" i="5"/>
  <c r="D10" i="6"/>
  <c r="D18" i="2"/>
  <c r="Y8" i="1"/>
  <c r="C10" i="6"/>
  <c r="D10" i="5"/>
  <c r="R3" i="1"/>
  <c r="E2" i="6"/>
  <c r="AD12" i="1"/>
  <c r="E12" i="5"/>
  <c r="D20" i="2"/>
  <c r="D12" i="6"/>
  <c r="Y11" i="1"/>
  <c r="D8" i="5"/>
  <c r="C8" i="6"/>
  <c r="C10" i="5"/>
  <c r="R16" i="1"/>
  <c r="E15" i="6"/>
  <c r="Y6" i="1"/>
  <c r="C5" i="6"/>
  <c r="D5" i="5"/>
  <c r="Y10" i="1"/>
  <c r="D11" i="5"/>
  <c r="C11" i="6"/>
  <c r="AD11" i="1"/>
  <c r="E8" i="5"/>
  <c r="D8" i="6"/>
  <c r="R12" i="1"/>
  <c r="E12" i="6"/>
  <c r="R8" i="1"/>
  <c r="E10" i="6"/>
  <c r="C6" i="5"/>
  <c r="C8" i="5" l="1"/>
</calcChain>
</file>

<file path=xl/sharedStrings.xml><?xml version="1.0" encoding="utf-8"?>
<sst xmlns="http://schemas.openxmlformats.org/spreadsheetml/2006/main" count="305" uniqueCount="166">
  <si>
    <t>exc VAT</t>
  </si>
  <si>
    <t>CONTINUING MEMBERS (rounded)</t>
  </si>
  <si>
    <t xml:space="preserve">NEW MEMBERS     </t>
  </si>
  <si>
    <t>WEBSITE</t>
  </si>
  <si>
    <t>2020 rate exc VAT</t>
  </si>
  <si>
    <t>Increase 2021</t>
  </si>
  <si>
    <t>2021 rate exc VAT (not rounded)</t>
  </si>
  <si>
    <t>2021 rate exc VAT (not rounded)
inc 4%VAT</t>
  </si>
  <si>
    <t>Weekly 2021 rate exc VAT (not rounded)
inc 4%VAT</t>
  </si>
  <si>
    <t>2021 rate exc VAT (rounded)</t>
  </si>
  <si>
    <t>Monthly electricity charge</t>
  </si>
  <si>
    <t>Weekly rent 
inc 4% VAT
(not rounded)</t>
  </si>
  <si>
    <t>Average monthly rent 
 at 4%</t>
  </si>
  <si>
    <t>Annual (continuing members) inc 4% VAT</t>
  </si>
  <si>
    <t>Weekly rent 
inc 4% VAT
(rounded)</t>
  </si>
  <si>
    <t>Monthly rent inc.4% VAT (rounded)
(31 days)</t>
  </si>
  <si>
    <t>NEW MEMBERS 
28 nights at 20% VAT (advanced rent)</t>
  </si>
  <si>
    <t>NEW MEMBERS (rest of year at 4% VAT)</t>
  </si>
  <si>
    <t>Deposit</t>
  </si>
  <si>
    <t>Total
payable in advance</t>
  </si>
  <si>
    <t>Average rent per month</t>
  </si>
  <si>
    <t xml:space="preserve">Maximum rent per month 
(31 days) incl. 4% 
</t>
  </si>
  <si>
    <t>ROOMS</t>
  </si>
  <si>
    <t>WGH</t>
  </si>
  <si>
    <t>ENSUITE/ASSISTED</t>
  </si>
  <si>
    <t>A</t>
  </si>
  <si>
    <t>ENSUITE</t>
  </si>
  <si>
    <t>B</t>
  </si>
  <si>
    <t>LH</t>
  </si>
  <si>
    <t>SINGLE / EMERGENCY</t>
  </si>
  <si>
    <t>LH &amp; WGH</t>
  </si>
  <si>
    <t>SINGLE</t>
  </si>
  <si>
    <t>C</t>
  </si>
  <si>
    <t>SINGLE (room in a shared 1B flat)</t>
  </si>
  <si>
    <t>D</t>
  </si>
  <si>
    <t>DOUBLE ENSUITE</t>
  </si>
  <si>
    <t>FLATS</t>
  </si>
  <si>
    <t>STUDIO</t>
  </si>
  <si>
    <t>1 BED</t>
  </si>
  <si>
    <t>2A BED</t>
  </si>
  <si>
    <t>2B BED</t>
  </si>
  <si>
    <t>3 BED</t>
  </si>
  <si>
    <t>H47</t>
  </si>
  <si>
    <t>CONTINUING MEMBERS (not rounded) - USE THIS ONE</t>
  </si>
  <si>
    <t>For singles</t>
  </si>
  <si>
    <t>Room type</t>
  </si>
  <si>
    <t>No.</t>
  </si>
  <si>
    <t>Rent per week (inc. VAT at 4%</t>
  </si>
  <si>
    <t>Maximum rent per month (31 days)</t>
  </si>
  <si>
    <t>Amount payable in advance</t>
  </si>
  <si>
    <t>Single A Study Bedroom</t>
  </si>
  <si>
    <t>Single B Study Bedroom</t>
  </si>
  <si>
    <t>Single C Study Bedroom</t>
  </si>
  <si>
    <t>Private Bathroom</t>
  </si>
  <si>
    <t>Rent per week (inc. VAT at 4%)</t>
  </si>
  <si>
    <t>Single Ensuite A Study Bedroom</t>
  </si>
  <si>
    <t>Single Ensuite B Study Bedroom</t>
  </si>
  <si>
    <t>For couples</t>
  </si>
  <si>
    <t>Double Ensuite Study Bedroom</t>
  </si>
  <si>
    <t>One Bedroom Flat</t>
  </si>
  <si>
    <t>For families</t>
  </si>
  <si>
    <t>Accessible accommodation</t>
  </si>
  <si>
    <t>Accessible Single Ensuite Study Bedroom*</t>
  </si>
  <si>
    <t>Accessible Studio Flat*</t>
  </si>
  <si>
    <t>Damage deposit 
(refundable, minus any deductions, on departure)</t>
  </si>
  <si>
    <t>Members are billed for the first time on the 1st of the month after arrival.</t>
  </si>
  <si>
    <t>28 days rent in advance at 20% VAT (credited to your account on arrival)</t>
  </si>
  <si>
    <t>Single en suite A &amp; Accessible ensuite</t>
  </si>
  <si>
    <t>Single en suite B</t>
  </si>
  <si>
    <t>Single A</t>
  </si>
  <si>
    <t>Single B</t>
  </si>
  <si>
    <t>Single C</t>
  </si>
  <si>
    <t>Single D (room in a shared flat)</t>
  </si>
  <si>
    <t>Double en suite</t>
  </si>
  <si>
    <t>1 Bedroom flat (for couples only)</t>
  </si>
  <si>
    <t>2 bedroom family flat B (couple plus two children)</t>
  </si>
  <si>
    <t>2 bedroom family flat A (couple plus one child)</t>
  </si>
  <si>
    <t>3 bedroom family flat (couple plus three children)</t>
  </si>
  <si>
    <t>Days 29 onwards 
(18-31 October) at 4% VAT</t>
  </si>
  <si>
    <t>Studio B (small - singles only)</t>
  </si>
  <si>
    <t>Studio A (large - couples only)</t>
  </si>
  <si>
    <r>
      <t xml:space="preserve">Daily rent </t>
    </r>
    <r>
      <rPr>
        <u/>
        <sz val="11"/>
        <color rgb="FFFF0000"/>
        <rFont val="Calibri"/>
        <family val="2"/>
        <scheme val="minor"/>
      </rPr>
      <t>excluding</t>
    </r>
    <r>
      <rPr>
        <sz val="11"/>
        <rFont val="Calibri"/>
        <family val="2"/>
        <scheme val="minor"/>
      </rPr>
      <t xml:space="preserve"> VAT</t>
    </r>
  </si>
  <si>
    <t>Days 1-28
(20 September to 17 October) 
 = daily rent + 20% VAT x 28 days
(paid in advance of arrival)*</t>
  </si>
  <si>
    <t>Weekly rent</t>
  </si>
  <si>
    <t>Maximum monthly rent</t>
  </si>
  <si>
    <t>For 
couples</t>
  </si>
  <si>
    <t>Monthly rent incl. 4% VAT (31 days)</t>
  </si>
  <si>
    <t>Annual rent incl. 4%VAT</t>
  </si>
  <si>
    <t>Electricity (studio &amp; flats only)</t>
  </si>
  <si>
    <t>For 
families</t>
  </si>
  <si>
    <t>Weekly rent incl. 4% VAT</t>
  </si>
  <si>
    <t>SEPTEMBER</t>
  </si>
  <si>
    <t>OCTOBER</t>
  </si>
  <si>
    <t>REST OF THE YEAR</t>
  </si>
  <si>
    <t>Remainder of the month is 4% VAT</t>
  </si>
  <si>
    <t>Every other month is charged at 4% VAT</t>
  </si>
  <si>
    <t>First 28 days at the College the rent is 20% VAT.   This is the Advance rent payment made before arrival</t>
  </si>
  <si>
    <t>2024 rate exc VAT (rounded)</t>
  </si>
  <si>
    <t>Increase 2025</t>
  </si>
  <si>
    <t>2025 rate exc VAT (not rounded)</t>
  </si>
  <si>
    <t>2025 rate inc 4% VAT (not rounded)</t>
  </si>
  <si>
    <t>2025 rate inc 4% VAT (rounded) Numbers must be typed in not rounded</t>
  </si>
  <si>
    <t xml:space="preserve">Weekly 2025 rate inc 4% VAT (not rounded) </t>
  </si>
  <si>
    <t>2025 rate inc 20% VAT (no rounding)</t>
  </si>
  <si>
    <t>2025 rate inc 20% VAT (rounded) Numbers must be typed in not rounded</t>
  </si>
  <si>
    <t>No of rooms from Sept 2025</t>
  </si>
  <si>
    <t>2025-26 rent from 1 September 2025</t>
  </si>
  <si>
    <t>2025 rate exc VAT
(rounded) Numbers must be typed in not rounded</t>
  </si>
  <si>
    <t>NEW MEMBERS Annual - inc 28 days at 20% (rest of year at 4% VAT)</t>
  </si>
  <si>
    <t xml:space="preserve">NEW MEMBERS 
Payable in advance (28 days at 20% + deposit) </t>
  </si>
  <si>
    <t>Maximum monthly increase</t>
  </si>
  <si>
    <t>Total income exc VAT</t>
  </si>
  <si>
    <t>Three Bedroom Flat (three children)</t>
  </si>
  <si>
    <t>2024 Monthly rent inc 4% VAT (not rounded)
(31 days)</t>
  </si>
  <si>
    <t>Monthly rent inc 4% VAT (not rounded)
(31 days)</t>
  </si>
  <si>
    <t>* In this example you arrive on the 20 September. If you arrive on a different date then you need to adjust your first bill.</t>
  </si>
  <si>
    <t>Single en suite A &amp; Accessible en suite</t>
  </si>
  <si>
    <t>*Electricity is charged monthly in advance.    This is the fixed electricity charge that you will be required to pay each month.   This is the rate until the 31 August 2025.    
Electricity rates may increase on the 1 September 2025 and you have 28 days notice of any changes.    We will update the information on our website as soon as we can.</t>
  </si>
  <si>
    <t>Current electricity prices as a guide only. Actual prices to follow.</t>
  </si>
  <si>
    <t>Some Members are exceptionally excluded from paying 28 days rent in advance. If you did not pay 28 days rent in advance, we will bill you for the remainder of the month you arrived at the College plus the full rent for the month ahead.</t>
  </si>
  <si>
    <t>Single E</t>
  </si>
  <si>
    <t>Single F</t>
  </si>
  <si>
    <t>Single G</t>
  </si>
  <si>
    <t>Single H</t>
  </si>
  <si>
    <t>Increase 2026</t>
  </si>
  <si>
    <t>No of rooms from Sept 2026</t>
  </si>
  <si>
    <t>2026 rate exc VAT (not rounded)</t>
  </si>
  <si>
    <t>2026 rate exc VAT
(rounded) Numbers must be typed in not rounded</t>
  </si>
  <si>
    <t>2026 rate inc 4% VAT (not rounded)</t>
  </si>
  <si>
    <t>2026 rate inc 4% VAT (rounded) Numbers must be typed in not rounded</t>
  </si>
  <si>
    <t xml:space="preserve">Weekly 2026 rate inc 4% VAT (not rounded) </t>
  </si>
  <si>
    <t>2026 rate inc 20% VAT (no rounding)</t>
  </si>
  <si>
    <t>2026 rate inc 20% VAT (rounded) Numbers must be typed in not rounded</t>
  </si>
  <si>
    <t>2026-27 rent from 1 September 2026</t>
  </si>
  <si>
    <t>LH , WGH, TGH</t>
  </si>
  <si>
    <t>TGH</t>
  </si>
  <si>
    <t>2025 rate exc VAT (rounded)</t>
  </si>
  <si>
    <t>1 BED (PREMIUM A)</t>
  </si>
  <si>
    <t>1 BED (PREMIUM B)</t>
  </si>
  <si>
    <t>Daily Electricity charge exec VAT</t>
  </si>
  <si>
    <t>Shared Bathroom: traditional (hotel style corridor) or cluster flats</t>
  </si>
  <si>
    <t>One Bedroom Flat Premium A</t>
  </si>
  <si>
    <t>One Bedroom Flat Premium B</t>
  </si>
  <si>
    <t>Council Tax (per year)*</t>
  </si>
  <si>
    <t>£3042.52**</t>
  </si>
  <si>
    <t>£2106.36**</t>
  </si>
  <si>
    <t>** These flats are currently undergoing major refurbishment and may be reassessed for Council Tax.</t>
  </si>
  <si>
    <t>Rent increases on the 1 September 2027</t>
  </si>
  <si>
    <t>Bills are emailed on the 1st of each month and must be paid by the 10th of the month. The amounts in the table above show the accommodation fees only - you may have other charges for things you have ordered (campbeds, Royal Albert Hall tickets, sublets etc).</t>
  </si>
  <si>
    <t>Those in studios and flats only also pay a separate Council Tax charge to Camden Local Authority. More details are available on our website.</t>
  </si>
  <si>
    <r>
      <rPr>
        <b/>
        <sz val="11"/>
        <color rgb="FFFF0000"/>
        <rFont val="Calibri"/>
        <family val="2"/>
        <scheme val="minor"/>
      </rPr>
      <t>*1 October 2026
First bill 
For arrival on 20 September</t>
    </r>
    <r>
      <rPr>
        <sz val="11"/>
        <color theme="1"/>
        <rFont val="Calibri"/>
        <family val="2"/>
        <scheme val="minor"/>
      </rPr>
      <t xml:space="preserve">
to cover the period from 20 September to 31 October</t>
    </r>
  </si>
  <si>
    <t>Monthly accommodation bills on the 1st of every month
(excludes Council Tax for those in flats and studios)
= Daily rent excluding VAT + 4% VAT x number of days in the month</t>
  </si>
  <si>
    <t>Sep 2027</t>
  </si>
  <si>
    <t>* Council Tax is a local Government Tax paid directly to the local authority.   Some reductions are made for students (see below).    The billing year is 1 April to 31 March and these figures are valid only until 31 March 2026.    There will be an increase from 1 April 2026.</t>
  </si>
  <si>
    <t>Two Bedroom Flat (one child)</t>
  </si>
  <si>
    <t>Two Bedroom Flat (two children)</t>
  </si>
  <si>
    <t>Studio Flat A (large - for couples)</t>
  </si>
  <si>
    <t>Studio Flat B (for a single person)</t>
  </si>
  <si>
    <t>Studio B (for a single person)</t>
  </si>
  <si>
    <t>Studio A (large - for couples only)</t>
  </si>
  <si>
    <t>1 Bedroom flat Premium A</t>
  </si>
  <si>
    <t>1 Bedroom flat Premium B</t>
  </si>
  <si>
    <t>1 Bedroom flat</t>
  </si>
  <si>
    <t>2 bedroom family flat A (one child)</t>
  </si>
  <si>
    <t>2 bedroom family flat B (two children)</t>
  </si>
  <si>
    <t>3 bedroom family flat (three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</si>
</sst>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4" formatCode="_-&quot;£&quot;* #,##0.00_-;\-&quot;£&quot;* #,##0.00_-;_-&quot;£&quot;* &quot;-&quot;??_-;_-@_-"/>
    <numFmt numFmtId="164" formatCode="_-&quot;£&quot;* #,##0.00_-;\-&quot;£&quot;* #,##0.00_-;_-&quot;£&quot;* &quot;-&quot;????_-;_-@_-"/>
    <numFmt numFmtId="165" formatCode="&quot;£&quot;#,##0.00"/>
    <numFmt numFmtId="166" formatCode="0.00000"/>
    <numFmt numFmtId="167" formatCode="&quot;£&quot;#,##0.0000;\-&quot;£&quot;#,##0.0000"/>
    <numFmt numFmtId="168" formatCode="&quot;£&quot;#,##0.0000"/>
    <numFmt numFmtId="169" formatCode="0.0%"/>
  </numFmts>
  <fonts count="31" x14ac:knownFonts="1">
    <font>
      <sz val="11"/>
      <color theme="1"/>
      <name val="Calibri"/>
      <family val="2"/>
      <scheme val="minor"/>
    </font>
    <font>
      <b/>
      <sz val="16"/>
      <name val="Calibri"/>
      <family val="2"/>
      <scheme val="minor"/>
    </font>
    <font>
      <sz val="16"/>
      <name val="Arial"/>
      <family val="2"/>
    </font>
    <font>
      <b/>
      <sz val="12"/>
      <name val="Calibri"/>
      <family val="2"/>
      <scheme val="minor"/>
    </font>
    <font>
      <b/>
      <sz val="12"/>
      <color rgb="FFFF0000"/>
      <name val="Calibri"/>
      <family val="2"/>
      <scheme val="minor"/>
    </font>
    <font>
      <sz val="10"/>
      <name val="Calibri"/>
      <family val="2"/>
      <scheme val="minor"/>
    </font>
    <font>
      <b/>
      <sz val="10"/>
      <name val="Calibri"/>
      <family val="2"/>
      <scheme val="minor"/>
    </font>
    <font>
      <sz val="10"/>
      <color rgb="FFFF0000"/>
      <name val="Calibri"/>
      <family val="2"/>
      <scheme val="minor"/>
    </font>
    <font>
      <sz val="12"/>
      <name val="Calibri"/>
      <family val="2"/>
      <scheme val="minor"/>
    </font>
    <font>
      <sz val="12"/>
      <color rgb="FFFF0000"/>
      <name val="Calibri"/>
      <family val="2"/>
      <scheme val="minor"/>
    </font>
    <font>
      <sz val="11"/>
      <color rgb="FFFF0000"/>
      <name val="Calibri"/>
      <family val="2"/>
      <scheme val="minor"/>
    </font>
    <font>
      <b/>
      <sz val="11"/>
      <color theme="1"/>
      <name val="Calibri"/>
      <family val="2"/>
      <scheme val="minor"/>
    </font>
    <font>
      <b/>
      <sz val="16.5"/>
      <color rgb="FF004152"/>
      <name val="Arial"/>
      <family val="2"/>
    </font>
    <font>
      <b/>
      <sz val="11"/>
      <color rgb="FFFF0000"/>
      <name val="Calibri"/>
      <family val="2"/>
      <scheme val="minor"/>
    </font>
    <font>
      <sz val="11"/>
      <name val="Calibri"/>
      <family val="2"/>
      <scheme val="minor"/>
    </font>
    <font>
      <u/>
      <sz val="11"/>
      <color theme="10"/>
      <name val="Calibri"/>
      <family val="2"/>
      <scheme val="minor"/>
    </font>
    <font>
      <u/>
      <sz val="11"/>
      <color rgb="FFFF0000"/>
      <name val="Calibri"/>
      <family val="2"/>
      <scheme val="minor"/>
    </font>
    <font>
      <sz val="11"/>
      <color theme="1"/>
      <name val="Calibri"/>
      <family val="2"/>
      <scheme val="minor"/>
    </font>
    <font>
      <b/>
      <u/>
      <sz val="11"/>
      <color theme="0" tint="-4.9989318521683403E-2"/>
      <name val="Calibri"/>
      <family val="2"/>
      <scheme val="minor"/>
    </font>
    <font>
      <b/>
      <sz val="11"/>
      <color theme="0" tint="-4.9989318521683403E-2"/>
      <name val="Calibri"/>
      <family val="2"/>
      <scheme val="minor"/>
    </font>
    <font>
      <u/>
      <sz val="11"/>
      <name val="Calibri"/>
      <family val="2"/>
      <scheme val="minor"/>
    </font>
    <font>
      <b/>
      <sz val="12"/>
      <color theme="1"/>
      <name val="Calibri"/>
      <family val="2"/>
      <scheme val="minor"/>
    </font>
    <font>
      <sz val="12"/>
      <color theme="1"/>
      <name val="Calibri"/>
      <family val="2"/>
      <scheme val="minor"/>
    </font>
    <font>
      <u/>
      <sz val="11"/>
      <color rgb="FF0070C0"/>
      <name val="Calibri"/>
      <family val="2"/>
      <scheme val="minor"/>
    </font>
    <font>
      <sz val="11"/>
      <color rgb="FF0070C0"/>
      <name val="Calibri"/>
      <family val="2"/>
      <scheme val="minor"/>
    </font>
    <font>
      <b/>
      <sz val="11"/>
      <color rgb="FF004152"/>
      <name val="Calibri"/>
      <family val="2"/>
      <scheme val="minor"/>
    </font>
    <font>
      <sz val="12"/>
      <color theme="1"/>
      <name val="Aptos"/>
      <family val="2"/>
    </font>
    <font>
      <sz val="16"/>
      <color theme="1"/>
      <name val="Calibri"/>
      <family val="2"/>
      <scheme val="minor"/>
    </font>
    <font>
      <u/>
      <sz val="16"/>
      <color rgb="FF0070C0"/>
      <name val="Calibri"/>
      <family val="2"/>
      <scheme val="minor"/>
    </font>
    <font>
      <sz val="16"/>
      <color rgb="FF0070C0"/>
      <name val="Calibri"/>
      <family val="2"/>
      <scheme val="minor"/>
    </font>
    <font>
      <sz val="12"/>
      <name val="Aptos"/>
      <family val="2"/>
    </font>
  </fonts>
  <fills count="1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BEBEB"/>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009999"/>
        <bgColor indexed="64"/>
      </patternFill>
    </fill>
    <fill>
      <patternFill patternType="solid">
        <fgColor theme="3" tint="-0.249977111117893"/>
        <bgColor indexed="64"/>
      </patternFill>
    </fill>
    <fill>
      <patternFill patternType="solid">
        <fgColor rgb="FFFFC0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301">
    <xf numFmtId="0" fontId="0" fillId="0" borderId="0" xfId="0"/>
    <xf numFmtId="2" fontId="1" fillId="0" borderId="1" xfId="0" applyNumberFormat="1" applyFont="1" applyBorder="1"/>
    <xf numFmtId="0" fontId="2" fillId="0" borderId="2" xfId="0" applyFont="1" applyBorder="1"/>
    <xf numFmtId="0" fontId="3" fillId="0" borderId="3" xfId="0" applyFont="1" applyBorder="1" applyAlignment="1">
      <alignment horizontal="center"/>
    </xf>
    <xf numFmtId="0" fontId="4" fillId="0" borderId="3" xfId="0" applyFont="1" applyBorder="1" applyAlignment="1">
      <alignment horizontal="center"/>
    </xf>
    <xf numFmtId="0" fontId="3" fillId="0" borderId="4" xfId="0" applyFont="1" applyBorder="1" applyAlignment="1">
      <alignment horizontal="center"/>
    </xf>
    <xf numFmtId="44" fontId="3" fillId="0" borderId="3" xfId="0" applyNumberFormat="1" applyFont="1" applyBorder="1" applyAlignment="1">
      <alignment horizontal="center"/>
    </xf>
    <xf numFmtId="9" fontId="3" fillId="0" borderId="2" xfId="0" applyNumberFormat="1" applyFont="1" applyBorder="1" applyAlignment="1">
      <alignment horizontal="center"/>
    </xf>
    <xf numFmtId="9" fontId="3" fillId="0" borderId="6" xfId="0" applyNumberFormat="1" applyFont="1" applyBorder="1" applyAlignment="1">
      <alignment horizontal="center"/>
    </xf>
    <xf numFmtId="2"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2" fontId="6"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5" fillId="2" borderId="2" xfId="0" applyNumberFormat="1" applyFont="1" applyFill="1" applyBorder="1" applyAlignment="1">
      <alignment horizontal="center" vertical="center" wrapText="1"/>
    </xf>
    <xf numFmtId="44" fontId="5" fillId="0" borderId="2"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2" borderId="2" xfId="0" applyNumberFormat="1"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4" xfId="0" applyNumberFormat="1" applyFont="1" applyFill="1" applyBorder="1" applyAlignment="1">
      <alignment horizontal="center" vertical="center" wrapText="1"/>
    </xf>
    <xf numFmtId="165" fontId="5" fillId="5" borderId="2" xfId="0" applyNumberFormat="1" applyFont="1" applyFill="1" applyBorder="1" applyAlignment="1">
      <alignment horizontal="center" vertical="center" wrapText="1"/>
    </xf>
    <xf numFmtId="2" fontId="5" fillId="5" borderId="5" xfId="0" applyNumberFormat="1" applyFont="1" applyFill="1" applyBorder="1" applyAlignment="1">
      <alignment horizontal="center" vertical="center" wrapText="1"/>
    </xf>
    <xf numFmtId="2" fontId="5" fillId="6" borderId="2"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5"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2"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 xfId="0" applyFont="1" applyFill="1" applyBorder="1" applyAlignment="1">
      <alignment horizontal="center" vertical="center" wrapText="1"/>
    </xf>
    <xf numFmtId="2" fontId="3" fillId="0" borderId="7" xfId="0" applyNumberFormat="1" applyFont="1" applyBorder="1"/>
    <xf numFmtId="2" fontId="3" fillId="0" borderId="0" xfId="0" applyNumberFormat="1" applyFont="1"/>
    <xf numFmtId="1" fontId="8" fillId="8" borderId="0" xfId="0" applyNumberFormat="1" applyFont="1" applyFill="1"/>
    <xf numFmtId="2" fontId="8" fillId="0" borderId="0" xfId="0" applyNumberFormat="1" applyFont="1"/>
    <xf numFmtId="166" fontId="8" fillId="0" borderId="0" xfId="0" applyNumberFormat="1" applyFont="1"/>
    <xf numFmtId="2" fontId="9" fillId="0" borderId="0" xfId="0" applyNumberFormat="1" applyFont="1"/>
    <xf numFmtId="2" fontId="8" fillId="2" borderId="0" xfId="0" applyNumberFormat="1" applyFont="1" applyFill="1"/>
    <xf numFmtId="165" fontId="8" fillId="0" borderId="0" xfId="0" applyNumberFormat="1" applyFont="1"/>
    <xf numFmtId="10" fontId="8" fillId="0" borderId="6" xfId="0" applyNumberFormat="1" applyFont="1" applyBorder="1"/>
    <xf numFmtId="167" fontId="8" fillId="2" borderId="3" xfId="0" applyNumberFormat="1" applyFont="1" applyFill="1" applyBorder="1"/>
    <xf numFmtId="44" fontId="3" fillId="0" borderId="4" xfId="0" applyNumberFormat="1" applyFont="1" applyBorder="1"/>
    <xf numFmtId="168" fontId="8" fillId="4" borderId="6" xfId="0" applyNumberFormat="1" applyFont="1" applyFill="1" applyBorder="1"/>
    <xf numFmtId="44" fontId="8" fillId="4" borderId="3" xfId="0" applyNumberFormat="1" applyFont="1" applyFill="1" applyBorder="1"/>
    <xf numFmtId="167" fontId="8" fillId="4" borderId="4" xfId="0" applyNumberFormat="1" applyFont="1" applyFill="1" applyBorder="1"/>
    <xf numFmtId="44" fontId="8" fillId="5" borderId="4" xfId="0" applyNumberFormat="1" applyFont="1" applyFill="1" applyBorder="1"/>
    <xf numFmtId="44" fontId="8" fillId="6" borderId="3" xfId="0" applyNumberFormat="1" applyFont="1" applyFill="1" applyBorder="1"/>
    <xf numFmtId="44" fontId="8" fillId="2" borderId="6" xfId="0" applyNumberFormat="1" applyFont="1" applyFill="1" applyBorder="1"/>
    <xf numFmtId="44" fontId="8" fillId="2" borderId="3" xfId="0" applyNumberFormat="1" applyFont="1" applyFill="1" applyBorder="1"/>
    <xf numFmtId="44" fontId="8" fillId="2" borderId="4" xfId="0" applyNumberFormat="1" applyFont="1" applyFill="1" applyBorder="1"/>
    <xf numFmtId="44" fontId="8" fillId="3" borderId="7" xfId="0" applyNumberFormat="1" applyFont="1" applyFill="1" applyBorder="1"/>
    <xf numFmtId="44" fontId="8" fillId="3" borderId="0" xfId="0" applyNumberFormat="1" applyFont="1" applyFill="1"/>
    <xf numFmtId="44" fontId="8" fillId="0" borderId="6" xfId="0" applyNumberFormat="1" applyFont="1" applyBorder="1"/>
    <xf numFmtId="44" fontId="8" fillId="0" borderId="3" xfId="0" applyNumberFormat="1" applyFont="1" applyBorder="1"/>
    <xf numFmtId="44" fontId="8" fillId="7" borderId="7" xfId="0" applyNumberFormat="1" applyFont="1" applyFill="1" applyBorder="1"/>
    <xf numFmtId="44" fontId="8" fillId="7" borderId="8" xfId="0" applyNumberFormat="1" applyFont="1" applyFill="1" applyBorder="1"/>
    <xf numFmtId="44" fontId="8" fillId="0" borderId="7" xfId="0" applyNumberFormat="1" applyFont="1" applyBorder="1"/>
    <xf numFmtId="44" fontId="0" fillId="0" borderId="0" xfId="0" applyNumberFormat="1"/>
    <xf numFmtId="10" fontId="8" fillId="0" borderId="7" xfId="0" applyNumberFormat="1" applyFont="1" applyBorder="1"/>
    <xf numFmtId="167" fontId="8" fillId="2" borderId="0" xfId="0" applyNumberFormat="1" applyFont="1" applyFill="1"/>
    <xf numFmtId="44" fontId="3" fillId="0" borderId="8" xfId="0" applyNumberFormat="1" applyFont="1" applyBorder="1"/>
    <xf numFmtId="168" fontId="8" fillId="4" borderId="7" xfId="0" applyNumberFormat="1" applyFont="1" applyFill="1" applyBorder="1"/>
    <xf numFmtId="44" fontId="8" fillId="4" borderId="0" xfId="0" applyNumberFormat="1" applyFont="1" applyFill="1"/>
    <xf numFmtId="167" fontId="8" fillId="4" borderId="8" xfId="0" applyNumberFormat="1" applyFont="1" applyFill="1" applyBorder="1"/>
    <xf numFmtId="44" fontId="8" fillId="5" borderId="8" xfId="0" applyNumberFormat="1" applyFont="1" applyFill="1" applyBorder="1"/>
    <xf numFmtId="44" fontId="8" fillId="6" borderId="0" xfId="0" applyNumberFormat="1" applyFont="1" applyFill="1"/>
    <xf numFmtId="44" fontId="8" fillId="2" borderId="7" xfId="0" applyNumberFormat="1" applyFont="1" applyFill="1" applyBorder="1"/>
    <xf numFmtId="44" fontId="8" fillId="2" borderId="0" xfId="0" applyNumberFormat="1" applyFont="1" applyFill="1"/>
    <xf numFmtId="44" fontId="8" fillId="2" borderId="8" xfId="0" applyNumberFormat="1" applyFont="1" applyFill="1" applyBorder="1"/>
    <xf numFmtId="0" fontId="3" fillId="0" borderId="0" xfId="0" applyFont="1"/>
    <xf numFmtId="0" fontId="8" fillId="0" borderId="0" xfId="0" applyFont="1"/>
    <xf numFmtId="2" fontId="3" fillId="0" borderId="7" xfId="0" applyNumberFormat="1" applyFont="1" applyBorder="1" applyAlignment="1">
      <alignment horizontal="left"/>
    </xf>
    <xf numFmtId="2" fontId="3" fillId="0" borderId="0" xfId="0" applyNumberFormat="1" applyFont="1" applyAlignment="1">
      <alignment horizontal="left"/>
    </xf>
    <xf numFmtId="2" fontId="3" fillId="0" borderId="9" xfId="0" applyNumberFormat="1" applyFont="1" applyBorder="1"/>
    <xf numFmtId="2" fontId="3" fillId="0" borderId="10" xfId="0" applyNumberFormat="1" applyFont="1" applyBorder="1"/>
    <xf numFmtId="1" fontId="8" fillId="8" borderId="10" xfId="0" applyNumberFormat="1" applyFont="1" applyFill="1" applyBorder="1"/>
    <xf numFmtId="2" fontId="8" fillId="0" borderId="10" xfId="0" applyNumberFormat="1" applyFont="1" applyBorder="1"/>
    <xf numFmtId="166" fontId="8" fillId="0" borderId="10" xfId="0" applyNumberFormat="1" applyFont="1" applyBorder="1"/>
    <xf numFmtId="2" fontId="9" fillId="0" borderId="10" xfId="0" applyNumberFormat="1" applyFont="1" applyBorder="1"/>
    <xf numFmtId="2" fontId="8" fillId="2" borderId="10" xfId="0" applyNumberFormat="1" applyFont="1" applyFill="1" applyBorder="1"/>
    <xf numFmtId="165" fontId="8" fillId="0" borderId="10" xfId="0" applyNumberFormat="1" applyFont="1" applyBorder="1"/>
    <xf numFmtId="44" fontId="8" fillId="0" borderId="10" xfId="0" applyNumberFormat="1" applyFont="1" applyBorder="1"/>
    <xf numFmtId="10" fontId="8" fillId="0" borderId="9" xfId="0" applyNumberFormat="1" applyFont="1" applyBorder="1"/>
    <xf numFmtId="167" fontId="8" fillId="2" borderId="10" xfId="0" applyNumberFormat="1" applyFont="1" applyFill="1" applyBorder="1"/>
    <xf numFmtId="44" fontId="3" fillId="0" borderId="11" xfId="0" applyNumberFormat="1" applyFont="1" applyBorder="1"/>
    <xf numFmtId="168" fontId="8" fillId="4" borderId="9" xfId="0" applyNumberFormat="1" applyFont="1" applyFill="1" applyBorder="1"/>
    <xf numFmtId="44" fontId="8" fillId="4" borderId="10" xfId="0" applyNumberFormat="1" applyFont="1" applyFill="1" applyBorder="1"/>
    <xf numFmtId="167" fontId="8" fillId="4" borderId="11" xfId="0" applyNumberFormat="1" applyFont="1" applyFill="1" applyBorder="1"/>
    <xf numFmtId="44" fontId="8" fillId="5" borderId="11" xfId="0" applyNumberFormat="1" applyFont="1" applyFill="1" applyBorder="1"/>
    <xf numFmtId="44" fontId="8" fillId="2" borderId="9" xfId="0" applyNumberFormat="1" applyFont="1" applyFill="1" applyBorder="1"/>
    <xf numFmtId="44" fontId="8" fillId="2" borderId="10" xfId="0" applyNumberFormat="1" applyFont="1" applyFill="1" applyBorder="1"/>
    <xf numFmtId="44" fontId="8" fillId="2" borderId="11" xfId="0" applyNumberFormat="1" applyFont="1" applyFill="1" applyBorder="1"/>
    <xf numFmtId="44" fontId="8" fillId="3" borderId="9" xfId="0" applyNumberFormat="1" applyFont="1" applyFill="1" applyBorder="1"/>
    <xf numFmtId="44" fontId="8" fillId="3" borderId="10" xfId="0" applyNumberFormat="1" applyFont="1" applyFill="1" applyBorder="1"/>
    <xf numFmtId="44" fontId="8" fillId="0" borderId="9" xfId="0" applyNumberFormat="1" applyFont="1" applyBorder="1"/>
    <xf numFmtId="44" fontId="8" fillId="7" borderId="10" xfId="0" applyNumberFormat="1" applyFont="1" applyFill="1" applyBorder="1"/>
    <xf numFmtId="44" fontId="8" fillId="7" borderId="11" xfId="0" applyNumberFormat="1" applyFont="1" applyFill="1" applyBorder="1"/>
    <xf numFmtId="1" fontId="0" fillId="0" borderId="0" xfId="0" applyNumberFormat="1"/>
    <xf numFmtId="164" fontId="0" fillId="0" borderId="0" xfId="0" applyNumberFormat="1"/>
    <xf numFmtId="165" fontId="0" fillId="0" borderId="0" xfId="0" applyNumberFormat="1"/>
    <xf numFmtId="44" fontId="9" fillId="6" borderId="0" xfId="0" applyNumberFormat="1" applyFont="1" applyFill="1"/>
    <xf numFmtId="44" fontId="9" fillId="6" borderId="10" xfId="0" applyNumberFormat="1" applyFont="1" applyFill="1" applyBorder="1"/>
    <xf numFmtId="44" fontId="9" fillId="7" borderId="7" xfId="0" applyNumberFormat="1" applyFont="1" applyFill="1" applyBorder="1"/>
    <xf numFmtId="44" fontId="8" fillId="0" borderId="0" xfId="0" applyNumberFormat="1" applyFont="1"/>
    <xf numFmtId="2" fontId="5" fillId="0" borderId="5" xfId="0" applyNumberFormat="1" applyFont="1" applyBorder="1" applyAlignment="1">
      <alignment horizontal="center" vertical="center" wrapText="1"/>
    </xf>
    <xf numFmtId="44" fontId="8" fillId="0" borderId="4" xfId="0" applyNumberFormat="1" applyFont="1" applyBorder="1"/>
    <xf numFmtId="44" fontId="8" fillId="0" borderId="8" xfId="0" applyNumberFormat="1" applyFont="1" applyBorder="1"/>
    <xf numFmtId="44" fontId="8" fillId="0" borderId="11" xfId="0" applyNumberFormat="1" applyFont="1" applyBorder="1"/>
    <xf numFmtId="44" fontId="8" fillId="7" borderId="0" xfId="0" applyNumberFormat="1" applyFont="1" applyFill="1"/>
    <xf numFmtId="0" fontId="0" fillId="0" borderId="0" xfId="0" applyAlignment="1">
      <alignment horizontal="center"/>
    </xf>
    <xf numFmtId="0" fontId="12" fillId="0" borderId="0" xfId="0" applyFont="1" applyAlignment="1">
      <alignment vertical="center"/>
    </xf>
    <xf numFmtId="0" fontId="0" fillId="0" borderId="0" xfId="0" applyAlignment="1">
      <alignment vertical="center"/>
    </xf>
    <xf numFmtId="0" fontId="11" fillId="9" borderId="12" xfId="0" applyFont="1" applyFill="1" applyBorder="1" applyAlignment="1">
      <alignment horizontal="left" vertical="center" wrapText="1" indent="1"/>
    </xf>
    <xf numFmtId="0" fontId="11" fillId="9" borderId="12" xfId="0" applyFont="1" applyFill="1" applyBorder="1" applyAlignment="1">
      <alignment horizontal="center" vertical="center" wrapText="1"/>
    </xf>
    <xf numFmtId="0" fontId="0" fillId="0" borderId="12" xfId="0" applyBorder="1" applyAlignment="1">
      <alignment horizontal="left" vertical="center" wrapText="1" indent="1"/>
    </xf>
    <xf numFmtId="165" fontId="14" fillId="0" borderId="12" xfId="0" applyNumberFormat="1" applyFont="1" applyBorder="1" applyAlignment="1">
      <alignment horizontal="center"/>
    </xf>
    <xf numFmtId="165" fontId="0" fillId="0" borderId="12" xfId="0" applyNumberFormat="1" applyBorder="1" applyAlignment="1">
      <alignment horizontal="center" vertical="center" wrapText="1"/>
    </xf>
    <xf numFmtId="0" fontId="11" fillId="4" borderId="12" xfId="0" applyFont="1" applyFill="1" applyBorder="1" applyAlignment="1">
      <alignment horizontal="left" vertical="center" wrapText="1" indent="1"/>
    </xf>
    <xf numFmtId="0" fontId="11" fillId="4" borderId="12" xfId="0" applyFont="1" applyFill="1" applyBorder="1" applyAlignment="1">
      <alignment horizontal="center" vertical="center" wrapText="1"/>
    </xf>
    <xf numFmtId="165" fontId="0" fillId="0" borderId="12" xfId="0" applyNumberFormat="1" applyBorder="1" applyAlignment="1">
      <alignment vertical="center" wrapText="1"/>
    </xf>
    <xf numFmtId="165" fontId="14" fillId="0" borderId="12" xfId="0" applyNumberFormat="1" applyFont="1" applyBorder="1"/>
    <xf numFmtId="0" fontId="0" fillId="0" borderId="0" xfId="0" applyAlignment="1">
      <alignment horizontal="left" vertical="center" wrapText="1" indent="1"/>
    </xf>
    <xf numFmtId="8" fontId="0" fillId="0" borderId="0" xfId="0" applyNumberFormat="1" applyAlignment="1">
      <alignment horizontal="center" vertical="center" wrapText="1"/>
    </xf>
    <xf numFmtId="6"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2" fontId="14" fillId="0" borderId="12" xfId="0" applyNumberFormat="1" applyFont="1" applyBorder="1" applyAlignment="1">
      <alignment horizontal="center" wrapText="1"/>
    </xf>
    <xf numFmtId="0" fontId="0" fillId="0" borderId="13" xfId="0" applyBorder="1" applyAlignment="1">
      <alignment horizontal="center" wrapText="1"/>
    </xf>
    <xf numFmtId="0" fontId="0" fillId="0" borderId="20" xfId="0" applyBorder="1" applyAlignment="1">
      <alignment horizontal="center" wrapText="1"/>
    </xf>
    <xf numFmtId="17" fontId="0" fillId="0" borderId="13" xfId="0" applyNumberFormat="1" applyBorder="1" applyAlignment="1">
      <alignment horizontal="center" vertical="center" wrapText="1"/>
    </xf>
    <xf numFmtId="165" fontId="0" fillId="0" borderId="13" xfId="0" applyNumberFormat="1" applyBorder="1"/>
    <xf numFmtId="165" fontId="0" fillId="10" borderId="16" xfId="0" applyNumberFormat="1" applyFill="1" applyBorder="1"/>
    <xf numFmtId="165" fontId="0" fillId="2" borderId="16" xfId="0" applyNumberFormat="1" applyFill="1" applyBorder="1"/>
    <xf numFmtId="165" fontId="0" fillId="11" borderId="13" xfId="0" applyNumberFormat="1" applyFill="1" applyBorder="1"/>
    <xf numFmtId="165" fontId="0" fillId="11" borderId="16" xfId="0" applyNumberFormat="1" applyFill="1" applyBorder="1"/>
    <xf numFmtId="165" fontId="0" fillId="0" borderId="23" xfId="0" applyNumberFormat="1" applyBorder="1"/>
    <xf numFmtId="165" fontId="0" fillId="2" borderId="17" xfId="0" applyNumberFormat="1" applyFill="1" applyBorder="1"/>
    <xf numFmtId="165" fontId="14" fillId="11" borderId="24" xfId="0" applyNumberFormat="1" applyFont="1" applyFill="1" applyBorder="1"/>
    <xf numFmtId="44" fontId="8" fillId="0" borderId="12" xfId="0" applyNumberFormat="1" applyFont="1" applyBorder="1"/>
    <xf numFmtId="165" fontId="14" fillId="0" borderId="18" xfId="0" applyNumberFormat="1" applyFont="1" applyBorder="1"/>
    <xf numFmtId="44" fontId="8" fillId="0" borderId="18" xfId="0" applyNumberFormat="1" applyFont="1" applyBorder="1"/>
    <xf numFmtId="165" fontId="0" fillId="0" borderId="25" xfId="0" applyNumberFormat="1" applyBorder="1"/>
    <xf numFmtId="165" fontId="14" fillId="0" borderId="26" xfId="0" applyNumberFormat="1" applyFont="1" applyBorder="1"/>
    <xf numFmtId="44" fontId="8" fillId="0" borderId="26" xfId="0" applyNumberFormat="1" applyFont="1" applyBorder="1"/>
    <xf numFmtId="165" fontId="0" fillId="0" borderId="27" xfId="0" applyNumberFormat="1" applyBorder="1"/>
    <xf numFmtId="165" fontId="0" fillId="2" borderId="28" xfId="0" applyNumberFormat="1" applyFill="1" applyBorder="1"/>
    <xf numFmtId="165" fontId="0" fillId="10" borderId="28" xfId="0" applyNumberFormat="1" applyFill="1" applyBorder="1"/>
    <xf numFmtId="165" fontId="0" fillId="11" borderId="24" xfId="0" applyNumberFormat="1" applyFill="1" applyBorder="1"/>
    <xf numFmtId="0" fontId="0" fillId="0" borderId="19" xfId="0" applyBorder="1"/>
    <xf numFmtId="2" fontId="14" fillId="0" borderId="29" xfId="0" applyNumberFormat="1" applyFont="1" applyBorder="1" applyAlignment="1">
      <alignment horizontal="center" wrapText="1"/>
    </xf>
    <xf numFmtId="0" fontId="0" fillId="0" borderId="4" xfId="0" applyBorder="1"/>
    <xf numFmtId="49" fontId="0" fillId="0" borderId="4" xfId="0" applyNumberFormat="1" applyBorder="1" applyAlignment="1">
      <alignment horizontal="center" wrapText="1"/>
    </xf>
    <xf numFmtId="0" fontId="0" fillId="0" borderId="34" xfId="0" applyBorder="1"/>
    <xf numFmtId="2" fontId="14" fillId="0" borderId="26" xfId="0" applyNumberFormat="1" applyFont="1" applyBorder="1" applyAlignment="1">
      <alignment horizontal="center" wrapText="1"/>
    </xf>
    <xf numFmtId="0" fontId="0" fillId="0" borderId="27" xfId="0" applyBorder="1" applyAlignment="1">
      <alignment horizontal="center" wrapText="1"/>
    </xf>
    <xf numFmtId="17" fontId="0" fillId="10" borderId="15" xfId="0" applyNumberFormat="1" applyFill="1" applyBorder="1" applyAlignment="1">
      <alignment horizontal="center" wrapText="1"/>
    </xf>
    <xf numFmtId="0" fontId="0" fillId="0" borderId="36" xfId="0" applyBorder="1" applyAlignment="1">
      <alignment horizontal="center" wrapText="1"/>
    </xf>
    <xf numFmtId="0" fontId="0" fillId="2" borderId="14" xfId="0" applyFill="1" applyBorder="1" applyAlignment="1">
      <alignment horizontal="center" wrapText="1"/>
    </xf>
    <xf numFmtId="0" fontId="0" fillId="0" borderId="13" xfId="0" applyBorder="1" applyAlignment="1">
      <alignment horizontal="center" vertical="center"/>
    </xf>
    <xf numFmtId="0" fontId="0" fillId="0" borderId="16" xfId="0" applyBorder="1" applyAlignment="1">
      <alignment horizontal="center" wrapText="1"/>
    </xf>
    <xf numFmtId="0" fontId="0" fillId="0" borderId="16" xfId="0" applyBorder="1" applyAlignment="1">
      <alignment horizontal="center" vertical="center"/>
    </xf>
    <xf numFmtId="0" fontId="0" fillId="10" borderId="16" xfId="0" applyFill="1" applyBorder="1" applyAlignment="1">
      <alignment horizontal="center" wrapText="1"/>
    </xf>
    <xf numFmtId="0" fontId="0" fillId="2" borderId="16" xfId="0" applyFill="1" applyBorder="1" applyAlignment="1">
      <alignment horizontal="center" wrapText="1"/>
    </xf>
    <xf numFmtId="2" fontId="15" fillId="0" borderId="12" xfId="1" applyNumberFormat="1" applyFill="1" applyBorder="1" applyAlignment="1">
      <alignment wrapText="1"/>
    </xf>
    <xf numFmtId="165" fontId="0" fillId="0" borderId="12" xfId="0" applyNumberFormat="1" applyBorder="1"/>
    <xf numFmtId="0" fontId="0" fillId="0" borderId="12" xfId="0" applyBorder="1" applyAlignment="1">
      <alignment horizontal="center" vertical="center"/>
    </xf>
    <xf numFmtId="2" fontId="14" fillId="0" borderId="12" xfId="0" applyNumberFormat="1" applyFont="1" applyBorder="1" applyAlignment="1">
      <alignment wrapText="1"/>
    </xf>
    <xf numFmtId="0" fontId="15" fillId="0" borderId="12" xfId="1" applyFill="1" applyBorder="1" applyAlignment="1">
      <alignment wrapText="1"/>
    </xf>
    <xf numFmtId="0" fontId="0" fillId="0" borderId="12" xfId="0" applyBorder="1" applyAlignment="1">
      <alignment horizontal="center"/>
    </xf>
    <xf numFmtId="0" fontId="0" fillId="0" borderId="12" xfId="0" applyBorder="1" applyAlignment="1">
      <alignment horizontal="center" wrapText="1"/>
    </xf>
    <xf numFmtId="2" fontId="19" fillId="12" borderId="12" xfId="0" applyNumberFormat="1" applyFont="1" applyFill="1" applyBorder="1" applyAlignment="1">
      <alignment horizontal="center" wrapText="1"/>
    </xf>
    <xf numFmtId="0" fontId="19" fillId="12" borderId="12" xfId="0" applyFont="1" applyFill="1" applyBorder="1" applyAlignment="1">
      <alignment horizontal="center"/>
    </xf>
    <xf numFmtId="2" fontId="19" fillId="12" borderId="12" xfId="0" applyNumberFormat="1" applyFont="1" applyFill="1" applyBorder="1" applyAlignment="1">
      <alignment horizontal="center" vertical="center" wrapText="1"/>
    </xf>
    <xf numFmtId="2" fontId="20" fillId="0" borderId="12" xfId="1" applyNumberFormat="1" applyFont="1" applyFill="1" applyBorder="1" applyAlignment="1">
      <alignment wrapText="1"/>
    </xf>
    <xf numFmtId="0" fontId="20" fillId="0" borderId="12" xfId="1" applyFont="1" applyFill="1" applyBorder="1" applyAlignment="1">
      <alignment wrapText="1"/>
    </xf>
    <xf numFmtId="0" fontId="17" fillId="0" borderId="0" xfId="0" applyFont="1"/>
    <xf numFmtId="44" fontId="14" fillId="0" borderId="12" xfId="1" applyNumberFormat="1" applyFont="1" applyFill="1" applyBorder="1" applyAlignment="1">
      <alignment wrapText="1"/>
    </xf>
    <xf numFmtId="0" fontId="19" fillId="13" borderId="12" xfId="0" applyFont="1" applyFill="1" applyBorder="1" applyAlignment="1">
      <alignment horizontal="center" vertical="center"/>
    </xf>
    <xf numFmtId="2" fontId="19" fillId="12" borderId="18" xfId="0" applyNumberFormat="1" applyFont="1" applyFill="1" applyBorder="1" applyAlignment="1">
      <alignment horizontal="center" vertical="center" wrapText="1"/>
    </xf>
    <xf numFmtId="44" fontId="8" fillId="0" borderId="13" xfId="0" applyNumberFormat="1" applyFont="1" applyBorder="1"/>
    <xf numFmtId="44" fontId="0" fillId="0" borderId="12" xfId="0" applyNumberFormat="1" applyBorder="1"/>
    <xf numFmtId="44" fontId="3" fillId="14" borderId="4" xfId="0" applyNumberFormat="1" applyFont="1" applyFill="1" applyBorder="1"/>
    <xf numFmtId="44" fontId="3" fillId="14" borderId="8" xfId="0" applyNumberFormat="1" applyFont="1" applyFill="1" applyBorder="1"/>
    <xf numFmtId="44" fontId="3" fillId="14" borderId="11" xfId="0" applyNumberFormat="1" applyFont="1" applyFill="1" applyBorder="1"/>
    <xf numFmtId="0" fontId="11" fillId="0" borderId="0" xfId="0" applyFont="1"/>
    <xf numFmtId="0" fontId="21" fillId="0" borderId="0" xfId="0" applyFont="1"/>
    <xf numFmtId="0" fontId="22" fillId="0" borderId="0" xfId="0" applyFont="1"/>
    <xf numFmtId="44" fontId="9" fillId="7" borderId="9" xfId="0" applyNumberFormat="1" applyFont="1" applyFill="1" applyBorder="1"/>
    <xf numFmtId="0" fontId="5" fillId="0" borderId="0" xfId="0" applyFont="1" applyAlignment="1">
      <alignment horizontal="center" vertical="center" wrapText="1"/>
    </xf>
    <xf numFmtId="2" fontId="23" fillId="0" borderId="12" xfId="1" applyNumberFormat="1" applyFont="1" applyBorder="1" applyAlignment="1">
      <alignment wrapText="1"/>
    </xf>
    <xf numFmtId="2" fontId="24" fillId="11" borderId="24" xfId="0" applyNumberFormat="1" applyFont="1" applyFill="1" applyBorder="1" applyAlignment="1">
      <alignment wrapText="1"/>
    </xf>
    <xf numFmtId="0" fontId="23" fillId="0" borderId="26" xfId="1" applyFont="1" applyBorder="1" applyAlignment="1">
      <alignment wrapText="1"/>
    </xf>
    <xf numFmtId="44" fontId="9" fillId="0" borderId="12" xfId="0" applyNumberFormat="1" applyFont="1" applyBorder="1"/>
    <xf numFmtId="44" fontId="10" fillId="0" borderId="12" xfId="0" applyNumberFormat="1" applyFont="1" applyBorder="1" applyAlignment="1">
      <alignment wrapText="1"/>
    </xf>
    <xf numFmtId="0" fontId="11" fillId="11" borderId="12" xfId="0" applyFont="1" applyFill="1" applyBorder="1" applyAlignment="1">
      <alignment horizontal="center" vertical="center" wrapText="1"/>
    </xf>
    <xf numFmtId="0" fontId="10" fillId="0" borderId="0" xfId="0" applyFont="1" applyAlignment="1">
      <alignment wrapText="1"/>
    </xf>
    <xf numFmtId="0" fontId="10" fillId="0" borderId="0" xfId="0" applyFont="1"/>
    <xf numFmtId="0" fontId="10" fillId="0" borderId="0" xfId="0" applyFont="1" applyAlignment="1">
      <alignment horizontal="center"/>
    </xf>
    <xf numFmtId="165" fontId="8" fillId="5" borderId="3" xfId="0" applyNumberFormat="1" applyFont="1" applyFill="1" applyBorder="1"/>
    <xf numFmtId="165" fontId="8" fillId="5" borderId="0" xfId="0" applyNumberFormat="1" applyFont="1" applyFill="1"/>
    <xf numFmtId="165" fontId="8" fillId="5" borderId="10" xfId="0" applyNumberFormat="1" applyFont="1" applyFill="1" applyBorder="1"/>
    <xf numFmtId="2" fontId="3" fillId="0" borderId="9" xfId="0" applyNumberFormat="1" applyFont="1" applyBorder="1" applyAlignment="1">
      <alignment horizontal="left"/>
    </xf>
    <xf numFmtId="2" fontId="3" fillId="0" borderId="10" xfId="0" applyNumberFormat="1" applyFont="1" applyBorder="1" applyAlignment="1">
      <alignment horizontal="left"/>
    </xf>
    <xf numFmtId="1" fontId="3" fillId="8" borderId="10" xfId="0" applyNumberFormat="1" applyFont="1" applyFill="1" applyBorder="1"/>
    <xf numFmtId="44" fontId="3" fillId="0" borderId="2" xfId="0" applyNumberFormat="1" applyFont="1" applyBorder="1" applyAlignment="1">
      <alignment horizontal="center"/>
    </xf>
    <xf numFmtId="44" fontId="5" fillId="0" borderId="1" xfId="0" applyNumberFormat="1" applyFont="1" applyBorder="1" applyAlignment="1">
      <alignment horizontal="center" vertical="center" wrapText="1"/>
    </xf>
    <xf numFmtId="44" fontId="5" fillId="2" borderId="2" xfId="0" applyNumberFormat="1" applyFont="1" applyFill="1" applyBorder="1" applyAlignment="1">
      <alignment horizontal="center" vertical="center" wrapText="1"/>
    </xf>
    <xf numFmtId="44" fontId="5" fillId="4" borderId="6" xfId="0" applyNumberFormat="1" applyFont="1" applyFill="1" applyBorder="1" applyAlignment="1">
      <alignment horizontal="center" vertical="center" wrapText="1"/>
    </xf>
    <xf numFmtId="44" fontId="5" fillId="4" borderId="4" xfId="0" applyNumberFormat="1" applyFont="1" applyFill="1" applyBorder="1" applyAlignment="1">
      <alignment horizontal="center" vertical="center" wrapText="1"/>
    </xf>
    <xf numFmtId="44" fontId="5" fillId="6" borderId="2" xfId="0" applyNumberFormat="1" applyFont="1" applyFill="1" applyBorder="1" applyAlignment="1">
      <alignment horizontal="center" vertical="center" wrapText="1"/>
    </xf>
    <xf numFmtId="44" fontId="5" fillId="2" borderId="1" xfId="0" applyNumberFormat="1" applyFont="1" applyFill="1" applyBorder="1" applyAlignment="1">
      <alignment horizontal="center" vertical="center" wrapText="1"/>
    </xf>
    <xf numFmtId="44" fontId="5" fillId="2" borderId="5" xfId="0" applyNumberFormat="1" applyFont="1" applyFill="1" applyBorder="1" applyAlignment="1">
      <alignment horizontal="center" vertical="center" wrapText="1"/>
    </xf>
    <xf numFmtId="44" fontId="5" fillId="0" borderId="5" xfId="0" applyNumberFormat="1" applyFont="1" applyBorder="1" applyAlignment="1">
      <alignment horizontal="center" vertical="center" wrapText="1"/>
    </xf>
    <xf numFmtId="169" fontId="8" fillId="0" borderId="6" xfId="0" applyNumberFormat="1" applyFont="1" applyBorder="1"/>
    <xf numFmtId="169" fontId="8" fillId="0" borderId="7" xfId="0" applyNumberFormat="1" applyFont="1" applyBorder="1"/>
    <xf numFmtId="44" fontId="5" fillId="5" borderId="4" xfId="0" applyNumberFormat="1" applyFont="1" applyFill="1" applyBorder="1" applyAlignment="1">
      <alignment horizontal="center" vertical="center" wrapText="1"/>
    </xf>
    <xf numFmtId="44" fontId="8" fillId="7" borderId="3" xfId="0" applyNumberFormat="1" applyFont="1" applyFill="1" applyBorder="1"/>
    <xf numFmtId="44" fontId="8" fillId="7" borderId="4" xfId="0" applyNumberFormat="1" applyFont="1" applyFill="1" applyBorder="1"/>
    <xf numFmtId="165" fontId="5" fillId="2" borderId="5" xfId="0" applyNumberFormat="1" applyFont="1" applyFill="1" applyBorder="1" applyAlignment="1">
      <alignment horizontal="center" vertical="center" wrapText="1"/>
    </xf>
    <xf numFmtId="165" fontId="8" fillId="2" borderId="4" xfId="0" applyNumberFormat="1" applyFont="1" applyFill="1" applyBorder="1"/>
    <xf numFmtId="165" fontId="8" fillId="2" borderId="8" xfId="0" applyNumberFormat="1" applyFont="1" applyFill="1" applyBorder="1"/>
    <xf numFmtId="165" fontId="3" fillId="2" borderId="11" xfId="0" applyNumberFormat="1" applyFont="1" applyFill="1" applyBorder="1"/>
    <xf numFmtId="165" fontId="5" fillId="5" borderId="6"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wrapText="1"/>
    </xf>
    <xf numFmtId="165" fontId="8" fillId="7" borderId="3" xfId="0" applyNumberFormat="1" applyFont="1" applyFill="1" applyBorder="1"/>
    <xf numFmtId="165" fontId="8" fillId="7" borderId="0" xfId="0" applyNumberFormat="1" applyFont="1" applyFill="1"/>
    <xf numFmtId="165" fontId="8" fillId="7" borderId="10" xfId="0" applyNumberFormat="1" applyFont="1" applyFill="1" applyBorder="1"/>
    <xf numFmtId="8" fontId="8" fillId="0" borderId="0" xfId="0" applyNumberFormat="1" applyFont="1"/>
    <xf numFmtId="44" fontId="8" fillId="6" borderId="14" xfId="0" applyNumberFormat="1" applyFont="1" applyFill="1" applyBorder="1"/>
    <xf numFmtId="44" fontId="8" fillId="6" borderId="38" xfId="0" applyNumberFormat="1" applyFont="1" applyFill="1" applyBorder="1"/>
    <xf numFmtId="44" fontId="9" fillId="8" borderId="38" xfId="0" applyNumberFormat="1" applyFont="1" applyFill="1" applyBorder="1"/>
    <xf numFmtId="44" fontId="9" fillId="6" borderId="39" xfId="0" applyNumberFormat="1" applyFont="1" applyFill="1" applyBorder="1"/>
    <xf numFmtId="44" fontId="8" fillId="7" borderId="6" xfId="0" applyNumberFormat="1" applyFont="1" applyFill="1" applyBorder="1"/>
    <xf numFmtId="44" fontId="8" fillId="7" borderId="9" xfId="0" applyNumberFormat="1" applyFont="1" applyFill="1" applyBorder="1"/>
    <xf numFmtId="0" fontId="25" fillId="0" borderId="0" xfId="0" applyFont="1" applyAlignment="1">
      <alignment vertical="center"/>
    </xf>
    <xf numFmtId="1" fontId="0" fillId="0" borderId="12" xfId="0" applyNumberFormat="1" applyBorder="1" applyAlignment="1">
      <alignment horizontal="left" vertical="center" wrapText="1" indent="1"/>
    </xf>
    <xf numFmtId="8" fontId="26" fillId="0" borderId="0" xfId="0" applyNumberFormat="1" applyFont="1"/>
    <xf numFmtId="8" fontId="26" fillId="0" borderId="12" xfId="0" applyNumberFormat="1" applyFont="1" applyBorder="1"/>
    <xf numFmtId="2" fontId="15" fillId="0" borderId="18" xfId="1" applyNumberFormat="1" applyBorder="1" applyAlignment="1">
      <alignment wrapText="1"/>
    </xf>
    <xf numFmtId="7" fontId="0" fillId="10" borderId="16" xfId="0" applyNumberFormat="1" applyFill="1" applyBorder="1"/>
    <xf numFmtId="0" fontId="3" fillId="3" borderId="3" xfId="0" applyFont="1" applyFill="1" applyBorder="1" applyAlignment="1">
      <alignment horizontal="center"/>
    </xf>
    <xf numFmtId="0" fontId="3" fillId="3" borderId="4" xfId="0" applyFont="1" applyFill="1" applyBorder="1" applyAlignment="1">
      <alignment horizontal="center"/>
    </xf>
    <xf numFmtId="44" fontId="3" fillId="0" borderId="1" xfId="0" applyNumberFormat="1" applyFont="1" applyBorder="1" applyAlignment="1">
      <alignment horizontal="center"/>
    </xf>
    <xf numFmtId="44" fontId="3" fillId="0" borderId="2" xfId="0" applyNumberFormat="1" applyFont="1" applyBorder="1" applyAlignment="1">
      <alignment horizontal="center"/>
    </xf>
    <xf numFmtId="9" fontId="3" fillId="0" borderId="1" xfId="0" applyNumberFormat="1" applyFont="1" applyBorder="1" applyAlignment="1">
      <alignment horizontal="center"/>
    </xf>
    <xf numFmtId="9" fontId="3" fillId="0" borderId="2" xfId="0" applyNumberFormat="1" applyFont="1" applyBorder="1" applyAlignment="1">
      <alignment horizontal="center"/>
    </xf>
    <xf numFmtId="9" fontId="3" fillId="0" borderId="5" xfId="0" applyNumberFormat="1" applyFont="1" applyBorder="1" applyAlignment="1">
      <alignment horizontal="center"/>
    </xf>
    <xf numFmtId="44" fontId="3" fillId="2" borderId="1" xfId="0" applyNumberFormat="1" applyFont="1" applyFill="1" applyBorder="1" applyAlignment="1">
      <alignment horizontal="center"/>
    </xf>
    <xf numFmtId="44" fontId="3" fillId="2" borderId="2" xfId="0" applyNumberFormat="1" applyFont="1" applyFill="1" applyBorder="1" applyAlignment="1">
      <alignment horizontal="center"/>
    </xf>
    <xf numFmtId="44" fontId="3" fillId="2" borderId="5" xfId="0" applyNumberFormat="1" applyFont="1" applyFill="1" applyBorder="1" applyAlignment="1">
      <alignment horizontal="center"/>
    </xf>
    <xf numFmtId="0" fontId="11" fillId="10" borderId="13" xfId="0" applyFont="1" applyFill="1" applyBorder="1" applyAlignment="1">
      <alignment horizontal="center"/>
    </xf>
    <xf numFmtId="0" fontId="11" fillId="10" borderId="24" xfId="0" applyFont="1" applyFill="1" applyBorder="1" applyAlignment="1">
      <alignment horizontal="center"/>
    </xf>
    <xf numFmtId="0" fontId="11" fillId="10" borderId="37" xfId="0" applyFont="1" applyFill="1" applyBorder="1" applyAlignment="1">
      <alignment horizontal="center"/>
    </xf>
    <xf numFmtId="0" fontId="21" fillId="6" borderId="13" xfId="0" applyFont="1" applyFill="1" applyBorder="1" applyAlignment="1">
      <alignment horizontal="center"/>
    </xf>
    <xf numFmtId="0" fontId="22" fillId="0" borderId="24" xfId="0" applyFont="1" applyBorder="1" applyAlignment="1">
      <alignment horizontal="center"/>
    </xf>
    <xf numFmtId="0" fontId="22" fillId="0" borderId="37" xfId="0" applyFont="1" applyBorder="1" applyAlignment="1">
      <alignment horizontal="center"/>
    </xf>
    <xf numFmtId="0" fontId="21" fillId="2" borderId="13" xfId="0" applyFont="1" applyFill="1" applyBorder="1" applyAlignment="1">
      <alignment horizontal="center"/>
    </xf>
    <xf numFmtId="0" fontId="0" fillId="0" borderId="24" xfId="0" applyBorder="1"/>
    <xf numFmtId="0" fontId="0" fillId="0" borderId="37" xfId="0" applyBorder="1"/>
    <xf numFmtId="0" fontId="0" fillId="0" borderId="8" xfId="0" applyBorder="1" applyAlignment="1">
      <alignment horizontal="center" vertical="center" textRotation="90"/>
    </xf>
    <xf numFmtId="0" fontId="0" fillId="0" borderId="11" xfId="0" applyBorder="1" applyAlignment="1">
      <alignment horizontal="center" vertical="center" textRotation="90"/>
    </xf>
    <xf numFmtId="0" fontId="0" fillId="0" borderId="0" xfId="0" applyAlignment="1">
      <alignment horizontal="left" vertical="center" wrapText="1"/>
    </xf>
    <xf numFmtId="0" fontId="0" fillId="0" borderId="0" xfId="0" applyAlignment="1">
      <alignment horizontal="left"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5" fillId="0" borderId="12" xfId="1" applyFill="1" applyBorder="1" applyAlignment="1">
      <alignment horizontal="center" vertical="center" textRotation="90"/>
    </xf>
    <xf numFmtId="0" fontId="15" fillId="0" borderId="12" xfId="1" applyFill="1" applyBorder="1" applyAlignment="1">
      <alignment horizontal="center" vertical="center" textRotation="90" wrapText="1"/>
    </xf>
    <xf numFmtId="0" fontId="18" fillId="13" borderId="12" xfId="1" applyFont="1" applyFill="1" applyBorder="1" applyAlignment="1">
      <alignment horizontal="center" vertical="center" textRotation="90"/>
    </xf>
    <xf numFmtId="0" fontId="18" fillId="13" borderId="12" xfId="1" applyFont="1" applyFill="1" applyBorder="1" applyAlignment="1">
      <alignment horizontal="center" vertical="center" textRotation="90" wrapText="1"/>
    </xf>
    <xf numFmtId="0" fontId="10" fillId="0" borderId="0" xfId="0" applyFont="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3" borderId="2" xfId="0" applyFont="1" applyFill="1" applyBorder="1" applyAlignment="1">
      <alignment horizontal="center"/>
    </xf>
    <xf numFmtId="2" fontId="15" fillId="0" borderId="12" xfId="1" applyNumberFormat="1" applyBorder="1" applyAlignment="1">
      <alignment wrapText="1"/>
    </xf>
    <xf numFmtId="2" fontId="15" fillId="0" borderId="26" xfId="1" applyNumberFormat="1" applyBorder="1" applyAlignment="1">
      <alignment wrapText="1"/>
    </xf>
    <xf numFmtId="2" fontId="15" fillId="0" borderId="35" xfId="1" applyNumberFormat="1" applyBorder="1" applyAlignment="1">
      <alignment wrapText="1"/>
    </xf>
    <xf numFmtId="0" fontId="27" fillId="0" borderId="21" xfId="0" applyFont="1" applyBorder="1"/>
    <xf numFmtId="0" fontId="28" fillId="0" borderId="21" xfId="1" applyFont="1" applyBorder="1" applyAlignment="1">
      <alignment horizontal="center" vertical="center" textRotation="90"/>
    </xf>
    <xf numFmtId="0" fontId="28" fillId="0" borderId="32" xfId="1" applyFont="1" applyBorder="1" applyAlignment="1">
      <alignment horizontal="center" vertical="center" textRotation="90"/>
    </xf>
    <xf numFmtId="0" fontId="29" fillId="11" borderId="33" xfId="0" applyFont="1" applyFill="1" applyBorder="1" applyAlignment="1">
      <alignment horizontal="center" vertical="center"/>
    </xf>
    <xf numFmtId="0" fontId="28" fillId="0" borderId="34" xfId="1" applyFont="1" applyBorder="1" applyAlignment="1">
      <alignment horizontal="center" vertical="center" textRotation="90"/>
    </xf>
    <xf numFmtId="0" fontId="28" fillId="0" borderId="22" xfId="1" applyFont="1" applyBorder="1" applyAlignment="1">
      <alignment horizontal="center" vertical="center" textRotation="90"/>
    </xf>
    <xf numFmtId="2" fontId="3" fillId="8" borderId="7" xfId="0" applyNumberFormat="1" applyFont="1" applyFill="1" applyBorder="1"/>
    <xf numFmtId="2" fontId="3" fillId="8" borderId="0" xfId="0" applyNumberFormat="1" applyFont="1" applyFill="1"/>
    <xf numFmtId="44" fontId="8" fillId="8" borderId="8" xfId="0" applyNumberFormat="1" applyFont="1" applyFill="1" applyBorder="1"/>
    <xf numFmtId="169" fontId="8" fillId="8" borderId="7" xfId="0" applyNumberFormat="1" applyFont="1" applyFill="1" applyBorder="1"/>
    <xf numFmtId="44" fontId="8" fillId="8" borderId="7" xfId="0" applyNumberFormat="1" applyFont="1" applyFill="1" applyBorder="1"/>
    <xf numFmtId="165" fontId="8" fillId="8" borderId="8" xfId="0" applyNumberFormat="1" applyFont="1" applyFill="1" applyBorder="1"/>
    <xf numFmtId="44" fontId="8" fillId="8" borderId="0" xfId="0" applyNumberFormat="1" applyFont="1" applyFill="1"/>
    <xf numFmtId="165" fontId="8" fillId="8" borderId="0" xfId="0" applyNumberFormat="1" applyFont="1" applyFill="1"/>
    <xf numFmtId="0" fontId="0" fillId="8" borderId="0" xfId="0" applyFill="1"/>
    <xf numFmtId="0" fontId="14" fillId="0" borderId="0" xfId="0" applyFont="1" applyAlignment="1">
      <alignment wrapText="1"/>
    </xf>
    <xf numFmtId="0" fontId="14" fillId="0" borderId="0" xfId="0" applyFont="1"/>
    <xf numFmtId="0" fontId="14" fillId="0" borderId="0" xfId="0" applyFont="1"/>
    <xf numFmtId="8" fontId="30" fillId="0" borderId="12" xfId="0" applyNumberFormat="1" applyFont="1" applyBorder="1"/>
  </cellXfs>
  <cellStyles count="2">
    <cellStyle name="Hyperlink" xfId="1" builtinId="8"/>
    <cellStyle name="Normal" xfId="0" builtinId="0"/>
  </cellStyles>
  <dxfs count="0"/>
  <tableStyles count="0" defaultTableStyle="TableStyleMedium2" defaultPivotStyle="PivotStyleLight16"/>
  <colors>
    <mruColors>
      <color rgb="FF009999"/>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6E49A06-8BB9-406F-AE14-926876C9CA13}" type="doc">
      <dgm:prSet loTypeId="urn:microsoft.com/office/officeart/2005/8/layout/process1" loCatId="process" qsTypeId="urn:microsoft.com/office/officeart/2005/8/quickstyle/simple1" qsCatId="simple" csTypeId="urn:microsoft.com/office/officeart/2005/8/colors/accent1_2" csCatId="accent1" phldr="1"/>
      <dgm:spPr/>
    </dgm:pt>
    <dgm:pt modelId="{9F985690-AC1A-4B41-9A55-F106A173CDA1}">
      <dgm:prSet phldrT="[Text]"/>
      <dgm:spPr/>
      <dgm:t>
        <a:bodyPr/>
        <a:lstStyle/>
        <a:p>
          <a:r>
            <a:rPr lang="en-GB"/>
            <a:t>Jane arrives on 20 September to a Single B room. She paid £1,737.62 in advance. This is £400 deposit and £1337.62 for 28 days rent in advance at 20% VAT.</a:t>
          </a:r>
        </a:p>
      </dgm:t>
    </dgm:pt>
    <dgm:pt modelId="{9FBE7114-0AC3-4982-922E-69B032C6D83C}" type="parTrans" cxnId="{3796EE7E-1CF8-482B-97BC-31707C3CFFBD}">
      <dgm:prSet/>
      <dgm:spPr/>
      <dgm:t>
        <a:bodyPr/>
        <a:lstStyle/>
        <a:p>
          <a:endParaRPr lang="en-GB"/>
        </a:p>
      </dgm:t>
    </dgm:pt>
    <dgm:pt modelId="{BE7BC0EA-9DC4-4DF5-8DD3-8070ABE211B9}" type="sibTrans" cxnId="{3796EE7E-1CF8-482B-97BC-31707C3CFFBD}">
      <dgm:prSet/>
      <dgm:spPr/>
      <dgm:t>
        <a:bodyPr/>
        <a:lstStyle/>
        <a:p>
          <a:endParaRPr lang="en-GB"/>
        </a:p>
      </dgm:t>
    </dgm:pt>
    <dgm:pt modelId="{921A0197-56D5-42B4-9EDF-2A8C8E43E58C}">
      <dgm:prSet phldrT="[Text]"/>
      <dgm:spPr/>
      <dgm:t>
        <a:bodyPr/>
        <a:lstStyle/>
        <a:p>
          <a:r>
            <a:rPr lang="en-GB"/>
            <a:t>Jane will get her first bill on 01 October for rent from 20 September to 31 October (42 days). This bill will be £579.63. Jane paid 28 days of the 42 before arrival. The £579.63 is the remaining 14 days at 4% VAT.</a:t>
          </a:r>
        </a:p>
      </dgm:t>
    </dgm:pt>
    <dgm:pt modelId="{A1A2237A-FEAF-4CBA-BB2A-B1BCCAAC69AE}" type="parTrans" cxnId="{5CB57311-9B5C-441F-9EAC-95E1F469E805}">
      <dgm:prSet/>
      <dgm:spPr/>
      <dgm:t>
        <a:bodyPr/>
        <a:lstStyle/>
        <a:p>
          <a:endParaRPr lang="en-GB"/>
        </a:p>
      </dgm:t>
    </dgm:pt>
    <dgm:pt modelId="{4F8BD4D1-24BD-4726-90A5-0634FFF1F13E}" type="sibTrans" cxnId="{5CB57311-9B5C-441F-9EAC-95E1F469E805}">
      <dgm:prSet/>
      <dgm:spPr/>
      <dgm:t>
        <a:bodyPr/>
        <a:lstStyle/>
        <a:p>
          <a:endParaRPr lang="en-GB"/>
        </a:p>
      </dgm:t>
    </dgm:pt>
    <dgm:pt modelId="{AAD1605F-B845-4D2F-8B25-3512EA333DE2}">
      <dgm:prSet phldrT="[Text]"/>
      <dgm:spPr/>
      <dgm:t>
        <a:bodyPr/>
        <a:lstStyle/>
        <a:p>
          <a:r>
            <a:rPr lang="en-GB"/>
            <a:t>After her first bill the rest of Jane's bills are not so complicated! They are the daily rate exc VAT + VAT at 4% x the number of days in the month e.g. for November </a:t>
          </a:r>
        </a:p>
        <a:p>
          <a:r>
            <a:rPr lang="en-GB"/>
            <a:t>£39.81 + 4% x 30 = £1,242.07</a:t>
          </a:r>
        </a:p>
      </dgm:t>
    </dgm:pt>
    <dgm:pt modelId="{6FE2E5C7-EE8F-4234-B002-52A491F43C70}" type="parTrans" cxnId="{6F6E3A78-E0A3-405A-A9FD-051BA296F1A6}">
      <dgm:prSet/>
      <dgm:spPr/>
      <dgm:t>
        <a:bodyPr/>
        <a:lstStyle/>
        <a:p>
          <a:endParaRPr lang="en-GB"/>
        </a:p>
      </dgm:t>
    </dgm:pt>
    <dgm:pt modelId="{3B58FE72-006D-422A-A979-AFAE2E107343}" type="sibTrans" cxnId="{6F6E3A78-E0A3-405A-A9FD-051BA296F1A6}">
      <dgm:prSet/>
      <dgm:spPr/>
      <dgm:t>
        <a:bodyPr/>
        <a:lstStyle/>
        <a:p>
          <a:endParaRPr lang="en-GB"/>
        </a:p>
      </dgm:t>
    </dgm:pt>
    <dgm:pt modelId="{7F0AB59B-D420-42FF-BDB3-41377B635B82}" type="pres">
      <dgm:prSet presAssocID="{56E49A06-8BB9-406F-AE14-926876C9CA13}" presName="Name0" presStyleCnt="0">
        <dgm:presLayoutVars>
          <dgm:dir/>
          <dgm:resizeHandles val="exact"/>
        </dgm:presLayoutVars>
      </dgm:prSet>
      <dgm:spPr/>
    </dgm:pt>
    <dgm:pt modelId="{35C8BA2D-3DC7-4830-9B6E-81DCF5EAC63E}" type="pres">
      <dgm:prSet presAssocID="{9F985690-AC1A-4B41-9A55-F106A173CDA1}" presName="node" presStyleLbl="node1" presStyleIdx="0" presStyleCnt="3">
        <dgm:presLayoutVars>
          <dgm:bulletEnabled val="1"/>
        </dgm:presLayoutVars>
      </dgm:prSet>
      <dgm:spPr/>
    </dgm:pt>
    <dgm:pt modelId="{5766328D-28DC-4F26-833C-913DC7E893F8}" type="pres">
      <dgm:prSet presAssocID="{BE7BC0EA-9DC4-4DF5-8DD3-8070ABE211B9}" presName="sibTrans" presStyleLbl="sibTrans2D1" presStyleIdx="0" presStyleCnt="2"/>
      <dgm:spPr/>
    </dgm:pt>
    <dgm:pt modelId="{0B261402-BA20-4D83-91BB-E00F7D92CBAE}" type="pres">
      <dgm:prSet presAssocID="{BE7BC0EA-9DC4-4DF5-8DD3-8070ABE211B9}" presName="connectorText" presStyleLbl="sibTrans2D1" presStyleIdx="0" presStyleCnt="2"/>
      <dgm:spPr/>
    </dgm:pt>
    <dgm:pt modelId="{156FBF66-E958-41BC-A9FF-9A45DD931CEC}" type="pres">
      <dgm:prSet presAssocID="{921A0197-56D5-42B4-9EDF-2A8C8E43E58C}" presName="node" presStyleLbl="node1" presStyleIdx="1" presStyleCnt="3" custLinFactNeighborX="-19607">
        <dgm:presLayoutVars>
          <dgm:bulletEnabled val="1"/>
        </dgm:presLayoutVars>
      </dgm:prSet>
      <dgm:spPr/>
    </dgm:pt>
    <dgm:pt modelId="{96F1B8B1-75CC-4F0B-9F6B-CE52C862AA5F}" type="pres">
      <dgm:prSet presAssocID="{4F8BD4D1-24BD-4726-90A5-0634FFF1F13E}" presName="sibTrans" presStyleLbl="sibTrans2D1" presStyleIdx="1" presStyleCnt="2"/>
      <dgm:spPr/>
    </dgm:pt>
    <dgm:pt modelId="{A6BEE086-EB60-4A7A-9599-CDA7ACFB7A33}" type="pres">
      <dgm:prSet presAssocID="{4F8BD4D1-24BD-4726-90A5-0634FFF1F13E}" presName="connectorText" presStyleLbl="sibTrans2D1" presStyleIdx="1" presStyleCnt="2"/>
      <dgm:spPr/>
    </dgm:pt>
    <dgm:pt modelId="{674F834A-DAE0-4180-8F6C-823060DEF4DC}" type="pres">
      <dgm:prSet presAssocID="{AAD1605F-B845-4D2F-8B25-3512EA333DE2}" presName="node" presStyleLbl="node1" presStyleIdx="2" presStyleCnt="3" custLinFactNeighborX="-46332" custLinFactNeighborY="-496">
        <dgm:presLayoutVars>
          <dgm:bulletEnabled val="1"/>
        </dgm:presLayoutVars>
      </dgm:prSet>
      <dgm:spPr/>
    </dgm:pt>
  </dgm:ptLst>
  <dgm:cxnLst>
    <dgm:cxn modelId="{1BD92604-A190-4649-8673-BA8BF2EDA761}" type="presOf" srcId="{921A0197-56D5-42B4-9EDF-2A8C8E43E58C}" destId="{156FBF66-E958-41BC-A9FF-9A45DD931CEC}" srcOrd="0" destOrd="0" presId="urn:microsoft.com/office/officeart/2005/8/layout/process1"/>
    <dgm:cxn modelId="{5CB57311-9B5C-441F-9EAC-95E1F469E805}" srcId="{56E49A06-8BB9-406F-AE14-926876C9CA13}" destId="{921A0197-56D5-42B4-9EDF-2A8C8E43E58C}" srcOrd="1" destOrd="0" parTransId="{A1A2237A-FEAF-4CBA-BB2A-B1BCCAAC69AE}" sibTransId="{4F8BD4D1-24BD-4726-90A5-0634FFF1F13E}"/>
    <dgm:cxn modelId="{8E1DB948-A402-48EC-BA29-55039EEB797B}" type="presOf" srcId="{9F985690-AC1A-4B41-9A55-F106A173CDA1}" destId="{35C8BA2D-3DC7-4830-9B6E-81DCF5EAC63E}" srcOrd="0" destOrd="0" presId="urn:microsoft.com/office/officeart/2005/8/layout/process1"/>
    <dgm:cxn modelId="{36B5CE71-FBAC-4FC0-B471-169B80FFCC82}" type="presOf" srcId="{4F8BD4D1-24BD-4726-90A5-0634FFF1F13E}" destId="{96F1B8B1-75CC-4F0B-9F6B-CE52C862AA5F}" srcOrd="0" destOrd="0" presId="urn:microsoft.com/office/officeart/2005/8/layout/process1"/>
    <dgm:cxn modelId="{6F6E3A78-E0A3-405A-A9FD-051BA296F1A6}" srcId="{56E49A06-8BB9-406F-AE14-926876C9CA13}" destId="{AAD1605F-B845-4D2F-8B25-3512EA333DE2}" srcOrd="2" destOrd="0" parTransId="{6FE2E5C7-EE8F-4234-B002-52A491F43C70}" sibTransId="{3B58FE72-006D-422A-A979-AFAE2E107343}"/>
    <dgm:cxn modelId="{3796EE7E-1CF8-482B-97BC-31707C3CFFBD}" srcId="{56E49A06-8BB9-406F-AE14-926876C9CA13}" destId="{9F985690-AC1A-4B41-9A55-F106A173CDA1}" srcOrd="0" destOrd="0" parTransId="{9FBE7114-0AC3-4982-922E-69B032C6D83C}" sibTransId="{BE7BC0EA-9DC4-4DF5-8DD3-8070ABE211B9}"/>
    <dgm:cxn modelId="{E8CC0498-A185-4B16-B8D7-E1E3A14968D4}" type="presOf" srcId="{AAD1605F-B845-4D2F-8B25-3512EA333DE2}" destId="{674F834A-DAE0-4180-8F6C-823060DEF4DC}" srcOrd="0" destOrd="0" presId="urn:microsoft.com/office/officeart/2005/8/layout/process1"/>
    <dgm:cxn modelId="{5B96A2A4-E024-425F-918E-0E99058EF95C}" type="presOf" srcId="{56E49A06-8BB9-406F-AE14-926876C9CA13}" destId="{7F0AB59B-D420-42FF-BDB3-41377B635B82}" srcOrd="0" destOrd="0" presId="urn:microsoft.com/office/officeart/2005/8/layout/process1"/>
    <dgm:cxn modelId="{EFCD73BF-139F-4D7A-A0C1-23C53C676673}" type="presOf" srcId="{4F8BD4D1-24BD-4726-90A5-0634FFF1F13E}" destId="{A6BEE086-EB60-4A7A-9599-CDA7ACFB7A33}" srcOrd="1" destOrd="0" presId="urn:microsoft.com/office/officeart/2005/8/layout/process1"/>
    <dgm:cxn modelId="{027A2EC9-B076-4DC5-9AE8-D792E29B3F91}" type="presOf" srcId="{BE7BC0EA-9DC4-4DF5-8DD3-8070ABE211B9}" destId="{5766328D-28DC-4F26-833C-913DC7E893F8}" srcOrd="0" destOrd="0" presId="urn:microsoft.com/office/officeart/2005/8/layout/process1"/>
    <dgm:cxn modelId="{96E322D9-F541-461D-BFA7-3D42E0D2C151}" type="presOf" srcId="{BE7BC0EA-9DC4-4DF5-8DD3-8070ABE211B9}" destId="{0B261402-BA20-4D83-91BB-E00F7D92CBAE}" srcOrd="1" destOrd="0" presId="urn:microsoft.com/office/officeart/2005/8/layout/process1"/>
    <dgm:cxn modelId="{B49D8BF1-5242-45B7-9FDF-55E4AB7631EA}" type="presParOf" srcId="{7F0AB59B-D420-42FF-BDB3-41377B635B82}" destId="{35C8BA2D-3DC7-4830-9B6E-81DCF5EAC63E}" srcOrd="0" destOrd="0" presId="urn:microsoft.com/office/officeart/2005/8/layout/process1"/>
    <dgm:cxn modelId="{A9968D73-A694-4F4F-B151-1D8533B3DD63}" type="presParOf" srcId="{7F0AB59B-D420-42FF-BDB3-41377B635B82}" destId="{5766328D-28DC-4F26-833C-913DC7E893F8}" srcOrd="1" destOrd="0" presId="urn:microsoft.com/office/officeart/2005/8/layout/process1"/>
    <dgm:cxn modelId="{FAEA0689-173C-48C7-A70E-17611C1084E7}" type="presParOf" srcId="{5766328D-28DC-4F26-833C-913DC7E893F8}" destId="{0B261402-BA20-4D83-91BB-E00F7D92CBAE}" srcOrd="0" destOrd="0" presId="urn:microsoft.com/office/officeart/2005/8/layout/process1"/>
    <dgm:cxn modelId="{49DADBE8-E557-4ADA-AE35-59616DC6A77E}" type="presParOf" srcId="{7F0AB59B-D420-42FF-BDB3-41377B635B82}" destId="{156FBF66-E958-41BC-A9FF-9A45DD931CEC}" srcOrd="2" destOrd="0" presId="urn:microsoft.com/office/officeart/2005/8/layout/process1"/>
    <dgm:cxn modelId="{B44C3A02-CF5E-487E-8227-31645ED9FE52}" type="presParOf" srcId="{7F0AB59B-D420-42FF-BDB3-41377B635B82}" destId="{96F1B8B1-75CC-4F0B-9F6B-CE52C862AA5F}" srcOrd="3" destOrd="0" presId="urn:microsoft.com/office/officeart/2005/8/layout/process1"/>
    <dgm:cxn modelId="{54D6BBBA-87CF-4C76-9ADD-A3D4E6599FA2}" type="presParOf" srcId="{96F1B8B1-75CC-4F0B-9F6B-CE52C862AA5F}" destId="{A6BEE086-EB60-4A7A-9599-CDA7ACFB7A33}" srcOrd="0" destOrd="0" presId="urn:microsoft.com/office/officeart/2005/8/layout/process1"/>
    <dgm:cxn modelId="{BE4CAEA4-45F2-479A-B573-5D3727300655}" type="presParOf" srcId="{7F0AB59B-D420-42FF-BDB3-41377B635B82}" destId="{674F834A-DAE0-4180-8F6C-823060DEF4DC}"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C8BA2D-3DC7-4830-9B6E-81DCF5EAC63E}">
      <dsp:nvSpPr>
        <dsp:cNvPr id="0" name=""/>
        <dsp:cNvSpPr/>
      </dsp:nvSpPr>
      <dsp:spPr>
        <a:xfrm>
          <a:off x="13895" y="0"/>
          <a:ext cx="4153329" cy="213360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lang="en-GB" sz="2000" kern="1200"/>
            <a:t>Jane arrives on 20 September to a Single B room. She paid £1,737.62 in advance. This is £400 deposit and £1337.62 for 28 days rent in advance at 20% VAT.</a:t>
          </a:r>
        </a:p>
      </dsp:txBody>
      <dsp:txXfrm>
        <a:off x="76386" y="62491"/>
        <a:ext cx="4028347" cy="2008618"/>
      </dsp:txXfrm>
    </dsp:sp>
    <dsp:sp modelId="{5766328D-28DC-4F26-833C-913DC7E893F8}">
      <dsp:nvSpPr>
        <dsp:cNvPr id="0" name=""/>
        <dsp:cNvSpPr/>
      </dsp:nvSpPr>
      <dsp:spPr>
        <a:xfrm>
          <a:off x="4501123" y="551787"/>
          <a:ext cx="707864" cy="1030025"/>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en-GB" sz="1600" kern="1200"/>
        </a:p>
      </dsp:txBody>
      <dsp:txXfrm>
        <a:off x="4501123" y="757792"/>
        <a:ext cx="495505" cy="618015"/>
      </dsp:txXfrm>
    </dsp:sp>
    <dsp:sp modelId="{156FBF66-E958-41BC-A9FF-9A45DD931CEC}">
      <dsp:nvSpPr>
        <dsp:cNvPr id="0" name=""/>
        <dsp:cNvSpPr/>
      </dsp:nvSpPr>
      <dsp:spPr>
        <a:xfrm>
          <a:off x="5502819" y="0"/>
          <a:ext cx="4153329" cy="213360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lang="en-GB" sz="2000" kern="1200"/>
            <a:t>Jane will get her first bill on 01 October for rent from 20 September to 31 October (42 days). This bill will be £579.63. Jane paid 28 days of the 42 before arrival. The £579.63 is the remaining 14 days at 4% VAT.</a:t>
          </a:r>
        </a:p>
      </dsp:txBody>
      <dsp:txXfrm>
        <a:off x="5565310" y="62491"/>
        <a:ext cx="4028347" cy="2008618"/>
      </dsp:txXfrm>
    </dsp:sp>
    <dsp:sp modelId="{96F1B8B1-75CC-4F0B-9F6B-CE52C862AA5F}">
      <dsp:nvSpPr>
        <dsp:cNvPr id="0" name=""/>
        <dsp:cNvSpPr/>
      </dsp:nvSpPr>
      <dsp:spPr>
        <a:xfrm>
          <a:off x="9960483" y="551787"/>
          <a:ext cx="645190" cy="1030025"/>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en-GB" sz="1600" kern="1200"/>
        </a:p>
      </dsp:txBody>
      <dsp:txXfrm>
        <a:off x="9960483" y="757792"/>
        <a:ext cx="451633" cy="618015"/>
      </dsp:txXfrm>
    </dsp:sp>
    <dsp:sp modelId="{674F834A-DAE0-4180-8F6C-823060DEF4DC}">
      <dsp:nvSpPr>
        <dsp:cNvPr id="0" name=""/>
        <dsp:cNvSpPr/>
      </dsp:nvSpPr>
      <dsp:spPr>
        <a:xfrm>
          <a:off x="10873488" y="0"/>
          <a:ext cx="4153329" cy="213360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lang="en-GB" sz="2000" kern="1200"/>
            <a:t>After her first bill the rest of Jane's bills are not so complicated! They are the daily rate exc VAT + VAT at 4% x the number of days in the month e.g. for November </a:t>
          </a:r>
        </a:p>
        <a:p>
          <a:pPr marL="0" lvl="0" indent="0" algn="ctr" defTabSz="889000">
            <a:lnSpc>
              <a:spcPct val="90000"/>
            </a:lnSpc>
            <a:spcBef>
              <a:spcPct val="0"/>
            </a:spcBef>
            <a:spcAft>
              <a:spcPct val="35000"/>
            </a:spcAft>
            <a:buNone/>
          </a:pPr>
          <a:r>
            <a:rPr lang="en-GB" sz="2000" kern="1200"/>
            <a:t>£39.81 + 4% x 30 = £1,242.07</a:t>
          </a:r>
        </a:p>
      </dsp:txBody>
      <dsp:txXfrm>
        <a:off x="10935979" y="62491"/>
        <a:ext cx="4028347" cy="2008618"/>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603249</xdr:colOff>
      <xdr:row>29</xdr:row>
      <xdr:rowOff>0</xdr:rowOff>
    </xdr:from>
    <xdr:to>
      <xdr:col>21</xdr:col>
      <xdr:colOff>40216</xdr:colOff>
      <xdr:row>40</xdr:row>
      <xdr:rowOff>38100</xdr:rowOff>
    </xdr:to>
    <xdr:graphicFrame macro="">
      <xdr:nvGraphicFramePr>
        <xdr:cNvPr id="7" name="Diagram 6">
          <a:extLst>
            <a:ext uri="{FF2B5EF4-FFF2-40B4-BE49-F238E27FC236}">
              <a16:creationId xmlns:a16="http://schemas.microsoft.com/office/drawing/2014/main" id="{2D7FCBAE-1E7E-CDF7-5992-6B3628A6088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odenough.ac.uk/rooms-category/for-singles/" TargetMode="External"/><Relationship Id="rId13" Type="http://schemas.openxmlformats.org/officeDocument/2006/relationships/hyperlink" Target="https://www.goodenough.ac.uk/accommodation/one-bedroom-flat/" TargetMode="External"/><Relationship Id="rId18" Type="http://schemas.openxmlformats.org/officeDocument/2006/relationships/printerSettings" Target="../printerSettings/printerSettings3.bin"/><Relationship Id="rId3" Type="http://schemas.openxmlformats.org/officeDocument/2006/relationships/hyperlink" Target="https://www.goodenough.ac.uk/accommodation/single-room-in-shared-flat/" TargetMode="External"/><Relationship Id="rId7" Type="http://schemas.openxmlformats.org/officeDocument/2006/relationships/hyperlink" Target="https://www.goodenough.ac.uk/accommodation/three-bedroom-flat/" TargetMode="External"/><Relationship Id="rId12" Type="http://schemas.openxmlformats.org/officeDocument/2006/relationships/hyperlink" Target="https://www.goodenough.ac.uk/rooms-category/for-couples/" TargetMode="External"/><Relationship Id="rId17" Type="http://schemas.openxmlformats.org/officeDocument/2006/relationships/hyperlink" Target="https://www.goodenough.ac.uk/accommodation/two-bedroom-flat/" TargetMode="External"/><Relationship Id="rId2" Type="http://schemas.openxmlformats.org/officeDocument/2006/relationships/hyperlink" Target="https://www.goodenough.ac.uk/accommodation/single-ensuite/" TargetMode="External"/><Relationship Id="rId16" Type="http://schemas.openxmlformats.org/officeDocument/2006/relationships/hyperlink" Target="https://www.goodenough.ac.uk/accommodation/two-bedroom-flat/" TargetMode="External"/><Relationship Id="rId1" Type="http://schemas.openxmlformats.org/officeDocument/2006/relationships/hyperlink" Target="https://www.goodenough.ac.uk/accommodation/single-shared/" TargetMode="External"/><Relationship Id="rId6" Type="http://schemas.openxmlformats.org/officeDocument/2006/relationships/hyperlink" Target="https://www.goodenough.ac.uk/accommodation/two-bedroom-flat/" TargetMode="External"/><Relationship Id="rId11" Type="http://schemas.openxmlformats.org/officeDocument/2006/relationships/hyperlink" Target="https://www.goodenough.ac.uk/accommodation/one-bedroom-flat/" TargetMode="External"/><Relationship Id="rId5" Type="http://schemas.openxmlformats.org/officeDocument/2006/relationships/hyperlink" Target="https://www.goodenough.ac.uk/accommodation/large-studio-flat/" TargetMode="External"/><Relationship Id="rId15" Type="http://schemas.openxmlformats.org/officeDocument/2006/relationships/hyperlink" Target="https://www.goodenough.ac.uk/accommodation/one-bedroom-flat/" TargetMode="External"/><Relationship Id="rId10" Type="http://schemas.openxmlformats.org/officeDocument/2006/relationships/hyperlink" Target="https://www.goodenough.ac.uk/rooms-category/for-families/" TargetMode="External"/><Relationship Id="rId19" Type="http://schemas.openxmlformats.org/officeDocument/2006/relationships/drawing" Target="../drawings/drawing1.xml"/><Relationship Id="rId4" Type="http://schemas.openxmlformats.org/officeDocument/2006/relationships/hyperlink" Target="https://www.goodenough.ac.uk/accommodation/double-room-with-an-en-suite-bathroom/" TargetMode="External"/><Relationship Id="rId9" Type="http://schemas.openxmlformats.org/officeDocument/2006/relationships/hyperlink" Target="https://www.goodenough.ac.uk/rooms-category/for-couples/" TargetMode="External"/><Relationship Id="rId14" Type="http://schemas.openxmlformats.org/officeDocument/2006/relationships/hyperlink" Target="https://www.goodenough.ac.uk/rooms-category/for-coup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odenough.ac.uk/accommodation/two-bedroom-flat/" TargetMode="External"/><Relationship Id="rId3" Type="http://schemas.openxmlformats.org/officeDocument/2006/relationships/hyperlink" Target="https://www.goodenough.ac.uk/accommodation/single-room-in-shared-flat/" TargetMode="External"/><Relationship Id="rId7" Type="http://schemas.openxmlformats.org/officeDocument/2006/relationships/hyperlink" Target="https://www.goodenough.ac.uk/accommodation/one-bedroom-flat/" TargetMode="External"/><Relationship Id="rId12" Type="http://schemas.openxmlformats.org/officeDocument/2006/relationships/hyperlink" Target="https://www.goodenough.ac.uk/rooms-category/for-families/" TargetMode="External"/><Relationship Id="rId2" Type="http://schemas.openxmlformats.org/officeDocument/2006/relationships/hyperlink" Target="https://www.goodenough.ac.uk/accommodation/single-ensuite/" TargetMode="External"/><Relationship Id="rId1" Type="http://schemas.openxmlformats.org/officeDocument/2006/relationships/hyperlink" Target="https://www.goodenough.ac.uk/accommodation/single-shared/" TargetMode="External"/><Relationship Id="rId6" Type="http://schemas.openxmlformats.org/officeDocument/2006/relationships/hyperlink" Target="https://www.goodenough.ac.uk/accommodation/large-studio-flat/" TargetMode="External"/><Relationship Id="rId11" Type="http://schemas.openxmlformats.org/officeDocument/2006/relationships/hyperlink" Target="https://www.goodenough.ac.uk/rooms-category/for-couples/" TargetMode="External"/><Relationship Id="rId5" Type="http://schemas.openxmlformats.org/officeDocument/2006/relationships/hyperlink" Target="https://www.goodenough.ac.uk/accommodation/double-room-with-an-en-suite-bathroom/" TargetMode="External"/><Relationship Id="rId10" Type="http://schemas.openxmlformats.org/officeDocument/2006/relationships/hyperlink" Target="https://www.goodenough.ac.uk/rooms-category/for-singles/" TargetMode="External"/><Relationship Id="rId4" Type="http://schemas.openxmlformats.org/officeDocument/2006/relationships/hyperlink" Target="https://www.goodenough.ac.uk/accommodation/single-room-in-shared-flat/" TargetMode="External"/><Relationship Id="rId9" Type="http://schemas.openxmlformats.org/officeDocument/2006/relationships/hyperlink" Target="https://www.goodenough.ac.uk/accommodation/three-bedroom-fla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odenough.ac.uk/accommodation/two-bedroom-flat/" TargetMode="External"/><Relationship Id="rId3" Type="http://schemas.openxmlformats.org/officeDocument/2006/relationships/hyperlink" Target="https://www.goodenough.ac.uk/accommodation/single-room-in-shared-flat/" TargetMode="External"/><Relationship Id="rId7" Type="http://schemas.openxmlformats.org/officeDocument/2006/relationships/hyperlink" Target="https://www.goodenough.ac.uk/accommodation/one-bedroom-flat/" TargetMode="External"/><Relationship Id="rId12" Type="http://schemas.openxmlformats.org/officeDocument/2006/relationships/hyperlink" Target="https://www.goodenough.ac.uk/rooms-category/for-families/" TargetMode="External"/><Relationship Id="rId2" Type="http://schemas.openxmlformats.org/officeDocument/2006/relationships/hyperlink" Target="https://www.goodenough.ac.uk/accommodation/single-ensuite/" TargetMode="External"/><Relationship Id="rId1" Type="http://schemas.openxmlformats.org/officeDocument/2006/relationships/hyperlink" Target="https://www.goodenough.ac.uk/accommodation/single-shared/" TargetMode="External"/><Relationship Id="rId6" Type="http://schemas.openxmlformats.org/officeDocument/2006/relationships/hyperlink" Target="https://www.goodenough.ac.uk/accommodation/large-studio-flat/" TargetMode="External"/><Relationship Id="rId11" Type="http://schemas.openxmlformats.org/officeDocument/2006/relationships/hyperlink" Target="https://www.goodenough.ac.uk/rooms-category/for-couples/" TargetMode="External"/><Relationship Id="rId5" Type="http://schemas.openxmlformats.org/officeDocument/2006/relationships/hyperlink" Target="https://www.goodenough.ac.uk/accommodation/double-room-with-an-en-suite-bathroom/" TargetMode="External"/><Relationship Id="rId10" Type="http://schemas.openxmlformats.org/officeDocument/2006/relationships/hyperlink" Target="https://www.goodenough.ac.uk/rooms-category/for-singles/" TargetMode="External"/><Relationship Id="rId4" Type="http://schemas.openxmlformats.org/officeDocument/2006/relationships/hyperlink" Target="https://www.goodenough.ac.uk/accommodation/single-room-in-shared-flat/" TargetMode="External"/><Relationship Id="rId9" Type="http://schemas.openxmlformats.org/officeDocument/2006/relationships/hyperlink" Target="https://www.goodenough.ac.uk/accommodation/three-bedroom-fl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24EC-292A-4F8B-B0A2-7B6B9C8C2D38}">
  <sheetPr>
    <tabColor rgb="FF00B050"/>
    <pageSetUpPr fitToPage="1"/>
  </sheetPr>
  <dimension ref="A1:AE24"/>
  <sheetViews>
    <sheetView zoomScaleNormal="100" workbookViewId="0">
      <pane xSplit="4" ySplit="2" topLeftCell="R3" activePane="bottomRight" state="frozen"/>
      <selection pane="topRight" activeCell="E1" sqref="E1"/>
      <selection pane="bottomLeft" activeCell="A3" sqref="A3"/>
      <selection pane="bottomRight" activeCell="W24" sqref="W24"/>
    </sheetView>
  </sheetViews>
  <sheetFormatPr defaultRowHeight="15" x14ac:dyDescent="0.25"/>
  <cols>
    <col min="2" max="2" width="15.42578125" bestFit="1" customWidth="1"/>
    <col min="3" max="3" width="32" customWidth="1"/>
    <col min="4" max="4" width="2.7109375" customWidth="1"/>
    <col min="5" max="5" width="8.85546875" customWidth="1"/>
    <col min="6" max="6" width="9.85546875" style="60" customWidth="1"/>
    <col min="7" max="7" width="8.5703125" style="60" customWidth="1"/>
    <col min="8" max="8" width="12.28515625" style="60" customWidth="1"/>
    <col min="9" max="9" width="11.28515625" style="102" customWidth="1"/>
    <col min="10" max="10" width="8.85546875" style="60" bestFit="1" customWidth="1"/>
    <col min="11" max="11" width="10.7109375" style="60" customWidth="1"/>
    <col min="12" max="12" width="12.42578125" style="102" customWidth="1"/>
    <col min="13" max="13" width="14.5703125" style="60" customWidth="1"/>
    <col min="14" max="14" width="11.85546875" style="102" customWidth="1"/>
    <col min="15" max="15" width="12.85546875" style="60" customWidth="1"/>
    <col min="16" max="16" width="12.140625" style="60" customWidth="1"/>
    <col min="17" max="17" width="12" style="60" customWidth="1"/>
    <col min="18" max="18" width="12.28515625" style="60" customWidth="1"/>
    <col min="19" max="19" width="12.7109375" style="60" bestFit="1" customWidth="1"/>
    <col min="20" max="20" width="11.5703125" style="60" customWidth="1"/>
    <col min="21" max="22" width="13.140625" style="60" customWidth="1"/>
    <col min="23" max="23" width="9.85546875" style="60" customWidth="1"/>
    <col min="24" max="24" width="11.85546875" style="60" customWidth="1"/>
    <col min="25" max="25" width="9.85546875" customWidth="1"/>
    <col min="26" max="26" width="11.85546875" customWidth="1"/>
    <col min="27" max="27" width="9.85546875" customWidth="1"/>
    <col min="28" max="28" width="11.85546875" customWidth="1"/>
    <col min="29" max="29" width="12.28515625" customWidth="1"/>
    <col min="30" max="30" width="11.85546875" customWidth="1"/>
    <col min="31" max="34" width="9.140625" customWidth="1"/>
  </cols>
  <sheetData>
    <row r="1" spans="1:31" ht="21.75" thickBot="1" x14ac:dyDescent="0.4">
      <c r="A1" s="1" t="s">
        <v>133</v>
      </c>
      <c r="B1" s="2"/>
      <c r="C1" s="2"/>
      <c r="D1" s="2"/>
      <c r="E1" s="2"/>
      <c r="F1" s="6"/>
      <c r="G1" s="245" t="s">
        <v>0</v>
      </c>
      <c r="H1" s="246"/>
      <c r="I1" s="246"/>
      <c r="J1" s="207"/>
      <c r="K1" s="247">
        <v>0.04</v>
      </c>
      <c r="L1" s="248"/>
      <c r="M1" s="249"/>
      <c r="N1" s="247">
        <v>0.2</v>
      </c>
      <c r="O1" s="249"/>
      <c r="P1" s="250" t="s">
        <v>43</v>
      </c>
      <c r="Q1" s="251"/>
      <c r="R1" s="251"/>
      <c r="S1" s="252"/>
      <c r="T1" s="245" t="s">
        <v>2</v>
      </c>
      <c r="U1" s="246"/>
      <c r="V1" s="246"/>
      <c r="W1" s="246"/>
      <c r="X1" s="246"/>
      <c r="Y1" s="243" t="s">
        <v>3</v>
      </c>
      <c r="Z1" s="243"/>
      <c r="AA1" s="243"/>
      <c r="AB1" s="243"/>
      <c r="AC1" s="243"/>
      <c r="AD1" s="244"/>
    </row>
    <row r="2" spans="1:31" ht="90" thickBot="1" x14ac:dyDescent="0.3">
      <c r="A2" s="9"/>
      <c r="B2" s="10"/>
      <c r="C2" s="11"/>
      <c r="D2" s="11"/>
      <c r="E2" s="12" t="s">
        <v>125</v>
      </c>
      <c r="F2" s="16" t="s">
        <v>136</v>
      </c>
      <c r="G2" s="208" t="s">
        <v>124</v>
      </c>
      <c r="H2" s="213" t="s">
        <v>126</v>
      </c>
      <c r="I2" s="221" t="s">
        <v>127</v>
      </c>
      <c r="J2" s="212" t="s">
        <v>139</v>
      </c>
      <c r="K2" s="210" t="s">
        <v>128</v>
      </c>
      <c r="L2" s="226" t="s">
        <v>129</v>
      </c>
      <c r="M2" s="211" t="s">
        <v>130</v>
      </c>
      <c r="N2" s="225" t="s">
        <v>131</v>
      </c>
      <c r="O2" s="218" t="s">
        <v>132</v>
      </c>
      <c r="P2" s="213" t="s">
        <v>11</v>
      </c>
      <c r="Q2" s="209" t="s">
        <v>114</v>
      </c>
      <c r="R2" s="209" t="s">
        <v>12</v>
      </c>
      <c r="S2" s="214" t="s">
        <v>13</v>
      </c>
      <c r="T2" s="208" t="s">
        <v>16</v>
      </c>
      <c r="U2" s="16" t="s">
        <v>17</v>
      </c>
      <c r="V2" s="16" t="s">
        <v>108</v>
      </c>
      <c r="W2" s="16" t="s">
        <v>18</v>
      </c>
      <c r="X2" s="215" t="s">
        <v>109</v>
      </c>
      <c r="Y2" s="31" t="s">
        <v>11</v>
      </c>
      <c r="Z2" s="31" t="s">
        <v>16</v>
      </c>
      <c r="AA2" s="31" t="s">
        <v>18</v>
      </c>
      <c r="AB2" s="32" t="s">
        <v>19</v>
      </c>
      <c r="AC2" s="32" t="s">
        <v>20</v>
      </c>
      <c r="AD2" s="33" t="s">
        <v>21</v>
      </c>
    </row>
    <row r="3" spans="1:31" ht="15.75" x14ac:dyDescent="0.25">
      <c r="A3" s="34" t="s">
        <v>22</v>
      </c>
      <c r="B3" s="35" t="s">
        <v>23</v>
      </c>
      <c r="C3" s="35" t="s">
        <v>24</v>
      </c>
      <c r="D3" s="35" t="s">
        <v>25</v>
      </c>
      <c r="E3" s="36">
        <v>133</v>
      </c>
      <c r="F3" s="108">
        <v>50.24</v>
      </c>
      <c r="G3" s="216">
        <v>3.5000000000000003E-2</v>
      </c>
      <c r="H3" s="50">
        <f t="shared" ref="H3:H8" si="0">F3*(1+G3)</f>
        <v>51.998399999999997</v>
      </c>
      <c r="I3" s="222">
        <f t="shared" ref="I3:I8" si="1">TRUNC(ROUND(H3,2),2)</f>
        <v>52</v>
      </c>
      <c r="J3" s="231"/>
      <c r="K3" s="219">
        <f>I3*1.04</f>
        <v>54.08</v>
      </c>
      <c r="L3" s="227">
        <f>TRUNC(ROUND(K3,2),2)</f>
        <v>54.08</v>
      </c>
      <c r="M3" s="220">
        <f t="shared" ref="M3:M8" si="2">K3*7</f>
        <v>378.56</v>
      </c>
      <c r="N3" s="201">
        <f t="shared" ref="N3:N8" si="3">I3*1.2</f>
        <v>62.4</v>
      </c>
      <c r="O3" s="48">
        <f>TRUNC(ROUND(N3,2),2)</f>
        <v>62.4</v>
      </c>
      <c r="P3" s="50">
        <f t="shared" ref="P3:P8" si="4">K3*7</f>
        <v>378.56</v>
      </c>
      <c r="Q3" s="51">
        <f t="shared" ref="Q3:Q8" si="5">K3*31</f>
        <v>1676.48</v>
      </c>
      <c r="R3" s="51">
        <f>S3/12</f>
        <v>1644.9333333333334</v>
      </c>
      <c r="S3" s="52">
        <f t="shared" ref="S3:S8" si="6">K3*365</f>
        <v>19739.2</v>
      </c>
      <c r="T3" s="55">
        <f t="shared" ref="T3:T8" si="7">N3*28</f>
        <v>1747.2</v>
      </c>
      <c r="U3" s="56">
        <f t="shared" ref="U3:U8" si="8">K3*337</f>
        <v>18224.96</v>
      </c>
      <c r="V3" s="56">
        <f t="shared" ref="V3:V8" si="9">T3+U3</f>
        <v>19972.16</v>
      </c>
      <c r="W3" s="56">
        <v>400</v>
      </c>
      <c r="X3" s="108">
        <f t="shared" ref="X3:X8" si="10">T3+W3</f>
        <v>2147.1999999999998</v>
      </c>
      <c r="Y3" s="235">
        <f t="shared" ref="Y3:Y8" si="11">P3</f>
        <v>378.56</v>
      </c>
      <c r="Z3" s="219">
        <f t="shared" ref="Z3:Z8" si="12">T3</f>
        <v>1747.2</v>
      </c>
      <c r="AA3" s="219">
        <f t="shared" ref="AA3:AA8" si="13">W3</f>
        <v>400</v>
      </c>
      <c r="AB3" s="219">
        <f>Z3+AA3</f>
        <v>2147.1999999999998</v>
      </c>
      <c r="AC3" s="219">
        <f t="shared" ref="AC3:AC8" si="14">(K3*365)/12</f>
        <v>1644.9333333333334</v>
      </c>
      <c r="AD3" s="220">
        <f t="shared" ref="AD3:AD8" si="15">Q3</f>
        <v>1676.48</v>
      </c>
      <c r="AE3" s="60"/>
    </row>
    <row r="4" spans="1:31" ht="15.75" x14ac:dyDescent="0.25">
      <c r="A4" s="34"/>
      <c r="B4" s="35" t="s">
        <v>23</v>
      </c>
      <c r="C4" s="35" t="s">
        <v>26</v>
      </c>
      <c r="D4" s="35" t="s">
        <v>27</v>
      </c>
      <c r="E4" s="36">
        <v>21</v>
      </c>
      <c r="F4" s="109">
        <v>46.79</v>
      </c>
      <c r="G4" s="217">
        <v>3.5000000000000003E-2</v>
      </c>
      <c r="H4" s="69">
        <f t="shared" si="0"/>
        <v>48.427649999999993</v>
      </c>
      <c r="I4" s="223">
        <f t="shared" si="1"/>
        <v>48.43</v>
      </c>
      <c r="J4" s="232"/>
      <c r="K4" s="111">
        <f>I4*1.04</f>
        <v>50.367200000000004</v>
      </c>
      <c r="L4" s="228">
        <f t="shared" ref="L4:L17" si="16">TRUNC(ROUND(K4,2),2)</f>
        <v>50.37</v>
      </c>
      <c r="M4" s="58">
        <f t="shared" si="2"/>
        <v>352.57040000000001</v>
      </c>
      <c r="N4" s="202">
        <f t="shared" si="3"/>
        <v>58.116</v>
      </c>
      <c r="O4" s="67">
        <f t="shared" ref="O4:O17" si="17">TRUNC(ROUND(N4,2),2)</f>
        <v>58.12</v>
      </c>
      <c r="P4" s="69">
        <f t="shared" si="4"/>
        <v>352.57040000000001</v>
      </c>
      <c r="Q4" s="70">
        <f t="shared" si="5"/>
        <v>1561.3832000000002</v>
      </c>
      <c r="R4" s="70">
        <f t="shared" ref="R4:R7" si="18">S4/12</f>
        <v>1532.0023333333336</v>
      </c>
      <c r="S4" s="71">
        <f t="shared" si="6"/>
        <v>18384.028000000002</v>
      </c>
      <c r="T4" s="59">
        <f t="shared" si="7"/>
        <v>1627.248</v>
      </c>
      <c r="U4" s="106">
        <f t="shared" si="8"/>
        <v>16973.7464</v>
      </c>
      <c r="V4" s="106">
        <f t="shared" si="9"/>
        <v>18600.9944</v>
      </c>
      <c r="W4" s="106">
        <v>400</v>
      </c>
      <c r="X4" s="109">
        <f t="shared" si="10"/>
        <v>2027.248</v>
      </c>
      <c r="Y4" s="57">
        <f t="shared" si="11"/>
        <v>352.57040000000001</v>
      </c>
      <c r="Z4" s="111">
        <f t="shared" si="12"/>
        <v>1627.248</v>
      </c>
      <c r="AA4" s="111">
        <f t="shared" si="13"/>
        <v>400</v>
      </c>
      <c r="AB4" s="111">
        <f t="shared" ref="AB4:AB8" si="19">Z4+AA4</f>
        <v>2027.248</v>
      </c>
      <c r="AC4" s="111">
        <f t="shared" si="14"/>
        <v>1532.0023333333336</v>
      </c>
      <c r="AD4" s="58">
        <f t="shared" si="15"/>
        <v>1561.3832000000002</v>
      </c>
    </row>
    <row r="5" spans="1:31" ht="15.75" x14ac:dyDescent="0.25">
      <c r="A5" s="34"/>
      <c r="B5" s="35" t="s">
        <v>28</v>
      </c>
      <c r="C5" s="35" t="s">
        <v>29</v>
      </c>
      <c r="D5" s="35" t="s">
        <v>25</v>
      </c>
      <c r="E5" s="36">
        <v>67</v>
      </c>
      <c r="F5" s="109">
        <v>43.22</v>
      </c>
      <c r="G5" s="217">
        <v>0.01</v>
      </c>
      <c r="H5" s="69">
        <f t="shared" si="0"/>
        <v>43.652200000000001</v>
      </c>
      <c r="I5" s="223">
        <f t="shared" si="1"/>
        <v>43.65</v>
      </c>
      <c r="J5" s="232"/>
      <c r="K5" s="111">
        <f>I5*1.04</f>
        <v>45.396000000000001</v>
      </c>
      <c r="L5" s="228">
        <f t="shared" si="16"/>
        <v>45.4</v>
      </c>
      <c r="M5" s="58">
        <f t="shared" si="2"/>
        <v>317.77199999999999</v>
      </c>
      <c r="N5" s="202">
        <f t="shared" si="3"/>
        <v>52.379999999999995</v>
      </c>
      <c r="O5" s="67">
        <f t="shared" si="17"/>
        <v>52.38</v>
      </c>
      <c r="P5" s="69">
        <f t="shared" si="4"/>
        <v>317.77199999999999</v>
      </c>
      <c r="Q5" s="70">
        <f t="shared" si="5"/>
        <v>1407.2760000000001</v>
      </c>
      <c r="R5" s="70">
        <f>S5/12</f>
        <v>1380.7950000000001</v>
      </c>
      <c r="S5" s="71">
        <f t="shared" si="6"/>
        <v>16569.54</v>
      </c>
      <c r="T5" s="59">
        <f t="shared" si="7"/>
        <v>1466.6399999999999</v>
      </c>
      <c r="U5" s="106">
        <f t="shared" si="8"/>
        <v>15298.452000000001</v>
      </c>
      <c r="V5" s="106">
        <f t="shared" si="9"/>
        <v>16765.092000000001</v>
      </c>
      <c r="W5" s="106">
        <v>400</v>
      </c>
      <c r="X5" s="109">
        <f t="shared" si="10"/>
        <v>1866.6399999999999</v>
      </c>
      <c r="Y5" s="57">
        <f t="shared" si="11"/>
        <v>317.77199999999999</v>
      </c>
      <c r="Z5" s="111">
        <f t="shared" si="12"/>
        <v>1466.6399999999999</v>
      </c>
      <c r="AA5" s="111">
        <f t="shared" si="13"/>
        <v>400</v>
      </c>
      <c r="AB5" s="111">
        <f t="shared" si="19"/>
        <v>1866.6399999999999</v>
      </c>
      <c r="AC5" s="111">
        <f t="shared" si="14"/>
        <v>1380.7950000000001</v>
      </c>
      <c r="AD5" s="58">
        <f t="shared" si="15"/>
        <v>1407.2760000000001</v>
      </c>
      <c r="AE5" s="60"/>
    </row>
    <row r="6" spans="1:31" ht="15.75" x14ac:dyDescent="0.25">
      <c r="A6" s="34"/>
      <c r="B6" s="35" t="s">
        <v>134</v>
      </c>
      <c r="C6" s="35" t="s">
        <v>31</v>
      </c>
      <c r="D6" s="35" t="s">
        <v>27</v>
      </c>
      <c r="E6" s="36">
        <v>249</v>
      </c>
      <c r="F6" s="109">
        <v>38.46</v>
      </c>
      <c r="G6" s="217">
        <v>3.5000000000000003E-2</v>
      </c>
      <c r="H6" s="69">
        <f t="shared" si="0"/>
        <v>39.806100000000001</v>
      </c>
      <c r="I6" s="223">
        <f t="shared" si="1"/>
        <v>39.81</v>
      </c>
      <c r="J6" s="232"/>
      <c r="K6" s="111">
        <f>I6*1.04</f>
        <v>41.402400000000007</v>
      </c>
      <c r="L6" s="228">
        <f t="shared" si="16"/>
        <v>41.4</v>
      </c>
      <c r="M6" s="58">
        <f t="shared" si="2"/>
        <v>289.81680000000006</v>
      </c>
      <c r="N6" s="202">
        <f t="shared" si="3"/>
        <v>47.771999999999998</v>
      </c>
      <c r="O6" s="67">
        <f t="shared" si="17"/>
        <v>47.77</v>
      </c>
      <c r="P6" s="69">
        <f t="shared" si="4"/>
        <v>289.81680000000006</v>
      </c>
      <c r="Q6" s="70">
        <f t="shared" si="5"/>
        <v>1283.4744000000003</v>
      </c>
      <c r="R6" s="70">
        <f t="shared" si="18"/>
        <v>1259.3230000000001</v>
      </c>
      <c r="S6" s="71">
        <f t="shared" si="6"/>
        <v>15111.876000000002</v>
      </c>
      <c r="T6" s="59">
        <f t="shared" si="7"/>
        <v>1337.616</v>
      </c>
      <c r="U6" s="106">
        <f t="shared" si="8"/>
        <v>13952.608800000002</v>
      </c>
      <c r="V6" s="106">
        <f t="shared" si="9"/>
        <v>15290.224800000002</v>
      </c>
      <c r="W6" s="106">
        <v>400</v>
      </c>
      <c r="X6" s="109">
        <f t="shared" si="10"/>
        <v>1737.616</v>
      </c>
      <c r="Y6" s="57">
        <f t="shared" si="11"/>
        <v>289.81680000000006</v>
      </c>
      <c r="Z6" s="111">
        <f t="shared" si="12"/>
        <v>1337.616</v>
      </c>
      <c r="AA6" s="111">
        <f t="shared" si="13"/>
        <v>400</v>
      </c>
      <c r="AB6" s="111">
        <f t="shared" si="19"/>
        <v>1737.616</v>
      </c>
      <c r="AC6" s="111">
        <f t="shared" si="14"/>
        <v>1259.3230000000001</v>
      </c>
      <c r="AD6" s="58">
        <f t="shared" si="15"/>
        <v>1283.4744000000003</v>
      </c>
    </row>
    <row r="7" spans="1:31" ht="15.75" x14ac:dyDescent="0.25">
      <c r="A7" s="34"/>
      <c r="B7" s="35" t="s">
        <v>134</v>
      </c>
      <c r="C7" s="35" t="s">
        <v>29</v>
      </c>
      <c r="D7" s="35" t="s">
        <v>32</v>
      </c>
      <c r="E7" s="36">
        <v>64</v>
      </c>
      <c r="F7" s="109">
        <v>34.340000000000003</v>
      </c>
      <c r="G7" s="217">
        <v>3.5000000000000003E-2</v>
      </c>
      <c r="H7" s="69">
        <f t="shared" si="0"/>
        <v>35.541899999999998</v>
      </c>
      <c r="I7" s="223">
        <f t="shared" si="1"/>
        <v>35.54</v>
      </c>
      <c r="J7" s="232"/>
      <c r="K7" s="111">
        <f t="shared" ref="K7:K8" si="20">I7*1.04</f>
        <v>36.961599999999997</v>
      </c>
      <c r="L7" s="228">
        <f t="shared" si="16"/>
        <v>36.96</v>
      </c>
      <c r="M7" s="58">
        <f t="shared" si="2"/>
        <v>258.7312</v>
      </c>
      <c r="N7" s="202">
        <f t="shared" si="3"/>
        <v>42.647999999999996</v>
      </c>
      <c r="O7" s="67">
        <f t="shared" si="17"/>
        <v>42.65</v>
      </c>
      <c r="P7" s="69">
        <f t="shared" si="4"/>
        <v>258.7312</v>
      </c>
      <c r="Q7" s="70">
        <f t="shared" si="5"/>
        <v>1145.8095999999998</v>
      </c>
      <c r="R7" s="70">
        <f t="shared" si="18"/>
        <v>1124.2486666666666</v>
      </c>
      <c r="S7" s="71">
        <f t="shared" si="6"/>
        <v>13490.983999999999</v>
      </c>
      <c r="T7" s="59">
        <f t="shared" si="7"/>
        <v>1194.1439999999998</v>
      </c>
      <c r="U7" s="106">
        <f t="shared" si="8"/>
        <v>12456.0592</v>
      </c>
      <c r="V7" s="106">
        <f t="shared" si="9"/>
        <v>13650.2032</v>
      </c>
      <c r="W7" s="106">
        <v>400</v>
      </c>
      <c r="X7" s="109">
        <f t="shared" si="10"/>
        <v>1594.1439999999998</v>
      </c>
      <c r="Y7" s="57">
        <f t="shared" si="11"/>
        <v>258.7312</v>
      </c>
      <c r="Z7" s="111">
        <f t="shared" si="12"/>
        <v>1194.1439999999998</v>
      </c>
      <c r="AA7" s="111">
        <f t="shared" si="13"/>
        <v>400</v>
      </c>
      <c r="AB7" s="111">
        <f t="shared" si="19"/>
        <v>1594.1439999999998</v>
      </c>
      <c r="AC7" s="111">
        <f t="shared" si="14"/>
        <v>1124.2486666666666</v>
      </c>
      <c r="AD7" s="58">
        <f t="shared" si="15"/>
        <v>1145.8095999999998</v>
      </c>
    </row>
    <row r="8" spans="1:31" ht="15.75" x14ac:dyDescent="0.25">
      <c r="A8" s="34"/>
      <c r="B8" s="35" t="s">
        <v>23</v>
      </c>
      <c r="C8" s="72" t="s">
        <v>35</v>
      </c>
      <c r="D8" s="73"/>
      <c r="E8" s="36">
        <v>4</v>
      </c>
      <c r="F8" s="109">
        <v>53.07</v>
      </c>
      <c r="G8" s="217">
        <v>3.5000000000000003E-2</v>
      </c>
      <c r="H8" s="69">
        <f t="shared" si="0"/>
        <v>54.927449999999993</v>
      </c>
      <c r="I8" s="223">
        <f t="shared" si="1"/>
        <v>54.93</v>
      </c>
      <c r="J8" s="232"/>
      <c r="K8" s="111">
        <f t="shared" si="20"/>
        <v>57.127200000000002</v>
      </c>
      <c r="L8" s="228">
        <f t="shared" si="16"/>
        <v>57.13</v>
      </c>
      <c r="M8" s="58">
        <f t="shared" si="2"/>
        <v>399.8904</v>
      </c>
      <c r="N8" s="202">
        <f t="shared" si="3"/>
        <v>65.915999999999997</v>
      </c>
      <c r="O8" s="67">
        <f t="shared" si="17"/>
        <v>65.92</v>
      </c>
      <c r="P8" s="69">
        <f t="shared" si="4"/>
        <v>399.8904</v>
      </c>
      <c r="Q8" s="70">
        <f t="shared" si="5"/>
        <v>1770.9432000000002</v>
      </c>
      <c r="R8" s="70">
        <f t="shared" ref="R8" si="21">S8/12</f>
        <v>1737.6189999999999</v>
      </c>
      <c r="S8" s="71">
        <f t="shared" si="6"/>
        <v>20851.428</v>
      </c>
      <c r="T8" s="59">
        <f t="shared" si="7"/>
        <v>1845.6479999999999</v>
      </c>
      <c r="U8" s="106">
        <f t="shared" si="8"/>
        <v>19251.866399999999</v>
      </c>
      <c r="V8" s="106">
        <f t="shared" si="9"/>
        <v>21097.5144</v>
      </c>
      <c r="W8" s="106">
        <v>400</v>
      </c>
      <c r="X8" s="109">
        <f t="shared" si="10"/>
        <v>2245.6480000000001</v>
      </c>
      <c r="Y8" s="57">
        <f t="shared" si="11"/>
        <v>399.8904</v>
      </c>
      <c r="Z8" s="111">
        <f t="shared" si="12"/>
        <v>1845.6479999999999</v>
      </c>
      <c r="AA8" s="111">
        <f t="shared" si="13"/>
        <v>400</v>
      </c>
      <c r="AB8" s="111">
        <f t="shared" si="19"/>
        <v>2245.6480000000001</v>
      </c>
      <c r="AC8" s="111">
        <f t="shared" si="14"/>
        <v>1737.6189999999999</v>
      </c>
      <c r="AD8" s="58">
        <f t="shared" si="15"/>
        <v>1770.9432000000002</v>
      </c>
    </row>
    <row r="9" spans="1:31" ht="15.75" x14ac:dyDescent="0.25">
      <c r="A9" s="34"/>
      <c r="B9" s="35"/>
      <c r="C9" s="35"/>
      <c r="D9" s="35"/>
      <c r="E9" s="36"/>
      <c r="F9" s="109"/>
      <c r="G9" s="217"/>
      <c r="H9" s="69"/>
      <c r="I9" s="223"/>
      <c r="J9" s="232"/>
      <c r="K9" s="111"/>
      <c r="L9" s="228"/>
      <c r="M9" s="58"/>
      <c r="N9" s="202"/>
      <c r="O9" s="67"/>
      <c r="P9" s="69"/>
      <c r="Q9" s="70"/>
      <c r="R9" s="70"/>
      <c r="S9" s="71"/>
      <c r="T9" s="59"/>
      <c r="U9" s="106"/>
      <c r="V9" s="106"/>
      <c r="W9" s="106"/>
      <c r="X9" s="109"/>
      <c r="Y9" s="57"/>
      <c r="Z9" s="111"/>
      <c r="AA9" s="111"/>
      <c r="AB9" s="111"/>
      <c r="AC9" s="111"/>
      <c r="AD9" s="58"/>
    </row>
    <row r="10" spans="1:31" ht="15.75" x14ac:dyDescent="0.25">
      <c r="A10" s="34" t="s">
        <v>36</v>
      </c>
      <c r="B10" s="35" t="s">
        <v>23</v>
      </c>
      <c r="C10" s="35" t="s">
        <v>37</v>
      </c>
      <c r="D10" s="35" t="s">
        <v>25</v>
      </c>
      <c r="E10" s="36">
        <v>16</v>
      </c>
      <c r="F10" s="109">
        <v>63.72</v>
      </c>
      <c r="G10" s="217">
        <v>3.5000000000000003E-2</v>
      </c>
      <c r="H10" s="69">
        <f>F10*(1+G10)+J10</f>
        <v>66.94019999999999</v>
      </c>
      <c r="I10" s="223">
        <f t="shared" ref="I10:I17" si="22">TRUNC(ROUND(H10,2),2)</f>
        <v>66.94</v>
      </c>
      <c r="J10" s="233">
        <v>0.99</v>
      </c>
      <c r="K10" s="111">
        <f t="shared" ref="K10:K17" si="23">I10*1.04</f>
        <v>69.617599999999996</v>
      </c>
      <c r="L10" s="228">
        <f t="shared" si="16"/>
        <v>69.62</v>
      </c>
      <c r="M10" s="58">
        <f t="shared" ref="M10:M17" si="24">K10*7</f>
        <v>487.32319999999999</v>
      </c>
      <c r="N10" s="202">
        <f t="shared" ref="N10:N17" si="25">I10*1.2</f>
        <v>80.327999999999989</v>
      </c>
      <c r="O10" s="67">
        <f t="shared" si="17"/>
        <v>80.33</v>
      </c>
      <c r="P10" s="69">
        <f t="shared" ref="P10:P17" si="26">K10*7</f>
        <v>487.32319999999999</v>
      </c>
      <c r="Q10" s="70">
        <f t="shared" ref="Q10:Q17" si="27">K10*31</f>
        <v>2158.1455999999998</v>
      </c>
      <c r="R10" s="70">
        <f t="shared" ref="R10:R17" si="28">S10/12</f>
        <v>2117.5353333333333</v>
      </c>
      <c r="S10" s="71">
        <f t="shared" ref="S10:S17" si="29">K10*365</f>
        <v>25410.423999999999</v>
      </c>
      <c r="T10" s="59">
        <f t="shared" ref="T10:T17" si="30">N10*28</f>
        <v>2249.1839999999997</v>
      </c>
      <c r="U10" s="106">
        <f t="shared" ref="U10:U17" si="31">K10*337</f>
        <v>23461.1312</v>
      </c>
      <c r="V10" s="106">
        <f t="shared" ref="V10:V17" si="32">T10+U10</f>
        <v>25710.315200000001</v>
      </c>
      <c r="W10" s="106">
        <v>750</v>
      </c>
      <c r="X10" s="109">
        <f t="shared" ref="X10:X17" si="33">T10+W10</f>
        <v>2999.1839999999997</v>
      </c>
      <c r="Y10" s="57">
        <f>P10</f>
        <v>487.32319999999999</v>
      </c>
      <c r="Z10" s="111">
        <f t="shared" ref="Z10:Z17" si="34">T10</f>
        <v>2249.1839999999997</v>
      </c>
      <c r="AA10" s="111">
        <f>W10</f>
        <v>750</v>
      </c>
      <c r="AB10" s="111">
        <f t="shared" ref="AB10:AB17" si="35">Z10+AA10</f>
        <v>2999.1839999999997</v>
      </c>
      <c r="AC10" s="111">
        <f t="shared" ref="AC10:AC17" si="36">(K10*365)/12</f>
        <v>2117.5353333333333</v>
      </c>
      <c r="AD10" s="58">
        <f t="shared" ref="AD10:AD17" si="37">Q10</f>
        <v>2158.1455999999998</v>
      </c>
      <c r="AE10" s="60"/>
    </row>
    <row r="11" spans="1:31" ht="15.75" x14ac:dyDescent="0.25">
      <c r="A11" s="34"/>
      <c r="B11" s="35" t="s">
        <v>23</v>
      </c>
      <c r="C11" s="35" t="s">
        <v>37</v>
      </c>
      <c r="D11" s="35" t="s">
        <v>27</v>
      </c>
      <c r="E11" s="36">
        <v>7</v>
      </c>
      <c r="F11" s="109">
        <v>62.21</v>
      </c>
      <c r="G11" s="217">
        <v>0.01</v>
      </c>
      <c r="H11" s="69">
        <f t="shared" ref="H11:H17" si="38">F11*(1+G11)+J11</f>
        <v>63.822100000000006</v>
      </c>
      <c r="I11" s="223">
        <f t="shared" si="22"/>
        <v>63.82</v>
      </c>
      <c r="J11" s="233">
        <v>0.99</v>
      </c>
      <c r="K11" s="111">
        <f t="shared" si="23"/>
        <v>66.372799999999998</v>
      </c>
      <c r="L11" s="228">
        <f t="shared" si="16"/>
        <v>66.37</v>
      </c>
      <c r="M11" s="58">
        <f t="shared" si="24"/>
        <v>464.6096</v>
      </c>
      <c r="N11" s="202">
        <f t="shared" si="25"/>
        <v>76.584000000000003</v>
      </c>
      <c r="O11" s="67">
        <f t="shared" si="17"/>
        <v>76.58</v>
      </c>
      <c r="P11" s="69">
        <f t="shared" si="26"/>
        <v>464.6096</v>
      </c>
      <c r="Q11" s="70">
        <f t="shared" si="27"/>
        <v>2057.5567999999998</v>
      </c>
      <c r="R11" s="70">
        <f t="shared" si="28"/>
        <v>2018.8393333333333</v>
      </c>
      <c r="S11" s="71">
        <f t="shared" si="29"/>
        <v>24226.072</v>
      </c>
      <c r="T11" s="59">
        <f t="shared" si="30"/>
        <v>2144.3519999999999</v>
      </c>
      <c r="U11" s="106">
        <f t="shared" si="31"/>
        <v>22367.633600000001</v>
      </c>
      <c r="V11" s="106">
        <f t="shared" si="32"/>
        <v>24511.9856</v>
      </c>
      <c r="W11" s="106">
        <v>750</v>
      </c>
      <c r="X11" s="109">
        <f t="shared" si="33"/>
        <v>2894.3519999999999</v>
      </c>
      <c r="Y11" s="57">
        <f t="shared" ref="Y11:Y17" si="39">P11</f>
        <v>464.6096</v>
      </c>
      <c r="Z11" s="111">
        <f t="shared" si="34"/>
        <v>2144.3519999999999</v>
      </c>
      <c r="AA11" s="111">
        <f>W11</f>
        <v>750</v>
      </c>
      <c r="AB11" s="111">
        <f>Z11+AA11</f>
        <v>2894.3519999999999</v>
      </c>
      <c r="AC11" s="111">
        <f t="shared" si="36"/>
        <v>2018.8393333333333</v>
      </c>
      <c r="AD11" s="58">
        <f t="shared" si="37"/>
        <v>2057.5567999999998</v>
      </c>
      <c r="AE11" s="60"/>
    </row>
    <row r="12" spans="1:31" ht="15.75" x14ac:dyDescent="0.25">
      <c r="A12" s="34"/>
      <c r="B12" s="35" t="s">
        <v>23</v>
      </c>
      <c r="C12" s="35" t="s">
        <v>38</v>
      </c>
      <c r="D12" s="35"/>
      <c r="E12" s="36">
        <v>34</v>
      </c>
      <c r="F12" s="109">
        <v>75.180000000000007</v>
      </c>
      <c r="G12" s="217">
        <v>0</v>
      </c>
      <c r="H12" s="69">
        <f t="shared" si="38"/>
        <v>76.48</v>
      </c>
      <c r="I12" s="223">
        <f t="shared" si="22"/>
        <v>76.48</v>
      </c>
      <c r="J12" s="233">
        <v>1.3</v>
      </c>
      <c r="K12" s="111">
        <f t="shared" si="23"/>
        <v>79.539200000000008</v>
      </c>
      <c r="L12" s="228">
        <f t="shared" si="16"/>
        <v>79.540000000000006</v>
      </c>
      <c r="M12" s="58">
        <f t="shared" si="24"/>
        <v>556.77440000000001</v>
      </c>
      <c r="N12" s="202">
        <f t="shared" si="25"/>
        <v>91.775999999999996</v>
      </c>
      <c r="O12" s="67">
        <f t="shared" si="17"/>
        <v>91.78</v>
      </c>
      <c r="P12" s="69">
        <f t="shared" si="26"/>
        <v>556.77440000000001</v>
      </c>
      <c r="Q12" s="70">
        <f t="shared" si="27"/>
        <v>2465.7152000000001</v>
      </c>
      <c r="R12" s="70">
        <f t="shared" si="28"/>
        <v>2419.3173333333339</v>
      </c>
      <c r="S12" s="71">
        <f t="shared" si="29"/>
        <v>29031.808000000005</v>
      </c>
      <c r="T12" s="59">
        <f t="shared" si="30"/>
        <v>2569.7280000000001</v>
      </c>
      <c r="U12" s="106">
        <f t="shared" si="31"/>
        <v>26804.710400000004</v>
      </c>
      <c r="V12" s="106">
        <f t="shared" si="32"/>
        <v>29374.438400000003</v>
      </c>
      <c r="W12" s="106">
        <v>750</v>
      </c>
      <c r="X12" s="109">
        <f t="shared" si="33"/>
        <v>3319.7280000000001</v>
      </c>
      <c r="Y12" s="57">
        <f t="shared" si="39"/>
        <v>556.77440000000001</v>
      </c>
      <c r="Z12" s="111">
        <f t="shared" si="34"/>
        <v>2569.7280000000001</v>
      </c>
      <c r="AA12" s="111">
        <f>W12</f>
        <v>750</v>
      </c>
      <c r="AB12" s="111">
        <f>Z12+AA12</f>
        <v>3319.7280000000001</v>
      </c>
      <c r="AC12" s="111">
        <f t="shared" si="36"/>
        <v>2419.3173333333339</v>
      </c>
      <c r="AD12" s="58">
        <f t="shared" si="37"/>
        <v>2465.7152000000001</v>
      </c>
      <c r="AE12" s="60"/>
    </row>
    <row r="13" spans="1:31" ht="15.75" x14ac:dyDescent="0.25">
      <c r="A13" s="34"/>
      <c r="B13" s="35" t="s">
        <v>135</v>
      </c>
      <c r="C13" s="35" t="s">
        <v>137</v>
      </c>
      <c r="D13" s="35" t="s">
        <v>25</v>
      </c>
      <c r="E13" s="36">
        <v>4</v>
      </c>
      <c r="F13" s="109">
        <v>75.180000000000007</v>
      </c>
      <c r="G13" s="217">
        <v>0.15</v>
      </c>
      <c r="H13" s="69">
        <f t="shared" si="38"/>
        <v>87.757000000000005</v>
      </c>
      <c r="I13" s="223">
        <f t="shared" si="22"/>
        <v>87.76</v>
      </c>
      <c r="J13" s="233">
        <v>1.3</v>
      </c>
      <c r="K13" s="111">
        <f t="shared" si="23"/>
        <v>91.270400000000009</v>
      </c>
      <c r="L13" s="228">
        <f t="shared" si="16"/>
        <v>91.27</v>
      </c>
      <c r="M13" s="58">
        <f t="shared" si="24"/>
        <v>638.89280000000008</v>
      </c>
      <c r="N13" s="202">
        <f t="shared" si="25"/>
        <v>105.312</v>
      </c>
      <c r="O13" s="67">
        <f t="shared" si="17"/>
        <v>105.31</v>
      </c>
      <c r="P13" s="69">
        <f t="shared" si="26"/>
        <v>638.89280000000008</v>
      </c>
      <c r="Q13" s="70">
        <f t="shared" si="27"/>
        <v>2829.3824000000004</v>
      </c>
      <c r="R13" s="70">
        <f t="shared" si="28"/>
        <v>2776.1413333333335</v>
      </c>
      <c r="S13" s="71">
        <f t="shared" si="29"/>
        <v>33313.696000000004</v>
      </c>
      <c r="T13" s="59">
        <f t="shared" si="30"/>
        <v>2948.7359999999999</v>
      </c>
      <c r="U13" s="106">
        <f t="shared" si="31"/>
        <v>30758.124800000001</v>
      </c>
      <c r="V13" s="106">
        <f t="shared" si="32"/>
        <v>33706.860800000002</v>
      </c>
      <c r="W13" s="230">
        <v>750</v>
      </c>
      <c r="X13" s="109">
        <f t="shared" si="33"/>
        <v>3698.7359999999999</v>
      </c>
      <c r="Y13" s="57">
        <f t="shared" si="39"/>
        <v>638.89280000000008</v>
      </c>
      <c r="Z13" s="111">
        <f t="shared" si="34"/>
        <v>2948.7359999999999</v>
      </c>
      <c r="AA13" s="111">
        <f>W13</f>
        <v>750</v>
      </c>
      <c r="AB13" s="111">
        <f>Z13+AA13</f>
        <v>3698.7359999999999</v>
      </c>
      <c r="AC13" s="111">
        <f t="shared" si="36"/>
        <v>2776.1413333333335</v>
      </c>
      <c r="AD13" s="58">
        <f t="shared" si="37"/>
        <v>2829.3824000000004</v>
      </c>
      <c r="AE13" s="60"/>
    </row>
    <row r="14" spans="1:31" ht="15.75" x14ac:dyDescent="0.25">
      <c r="A14" s="34"/>
      <c r="B14" s="35" t="s">
        <v>135</v>
      </c>
      <c r="C14" s="35" t="s">
        <v>138</v>
      </c>
      <c r="D14" s="35" t="s">
        <v>27</v>
      </c>
      <c r="E14" s="36">
        <v>4</v>
      </c>
      <c r="F14" s="109">
        <v>75.180000000000007</v>
      </c>
      <c r="G14" s="217">
        <v>7.4999999999999997E-2</v>
      </c>
      <c r="H14" s="69">
        <f t="shared" si="38"/>
        <v>82.118499999999997</v>
      </c>
      <c r="I14" s="223">
        <f t="shared" si="22"/>
        <v>82.12</v>
      </c>
      <c r="J14" s="233">
        <v>1.3</v>
      </c>
      <c r="K14" s="111">
        <f t="shared" si="23"/>
        <v>85.404800000000009</v>
      </c>
      <c r="L14" s="228">
        <f t="shared" si="16"/>
        <v>85.4</v>
      </c>
      <c r="M14" s="58">
        <f t="shared" si="24"/>
        <v>597.83360000000005</v>
      </c>
      <c r="N14" s="202">
        <f t="shared" si="25"/>
        <v>98.543999999999997</v>
      </c>
      <c r="O14" s="67">
        <f t="shared" si="17"/>
        <v>98.54</v>
      </c>
      <c r="P14" s="69">
        <f t="shared" si="26"/>
        <v>597.83360000000005</v>
      </c>
      <c r="Q14" s="70">
        <f t="shared" si="27"/>
        <v>2647.5488000000005</v>
      </c>
      <c r="R14" s="70">
        <f t="shared" si="28"/>
        <v>2597.7293333333337</v>
      </c>
      <c r="S14" s="71">
        <f t="shared" si="29"/>
        <v>31172.752000000004</v>
      </c>
      <c r="T14" s="59">
        <f t="shared" si="30"/>
        <v>2759.232</v>
      </c>
      <c r="U14" s="106">
        <f t="shared" si="31"/>
        <v>28781.417600000004</v>
      </c>
      <c r="V14" s="106">
        <f t="shared" si="32"/>
        <v>31540.649600000004</v>
      </c>
      <c r="W14" s="230">
        <v>750</v>
      </c>
      <c r="X14" s="109">
        <f t="shared" si="33"/>
        <v>3509.232</v>
      </c>
      <c r="Y14" s="57">
        <f t="shared" si="39"/>
        <v>597.83360000000005</v>
      </c>
      <c r="Z14" s="111">
        <f t="shared" si="34"/>
        <v>2759.232</v>
      </c>
      <c r="AA14" s="111">
        <v>750</v>
      </c>
      <c r="AB14" s="111">
        <f>Z14+AA14</f>
        <v>3509.232</v>
      </c>
      <c r="AC14" s="111">
        <f t="shared" si="36"/>
        <v>2597.7293333333337</v>
      </c>
      <c r="AD14" s="58">
        <f t="shared" si="37"/>
        <v>2647.5488000000005</v>
      </c>
    </row>
    <row r="15" spans="1:31" ht="15.75" x14ac:dyDescent="0.25">
      <c r="A15" s="34"/>
      <c r="B15" s="35" t="s">
        <v>23</v>
      </c>
      <c r="C15" s="35" t="s">
        <v>39</v>
      </c>
      <c r="D15" s="35"/>
      <c r="E15" s="36">
        <v>20</v>
      </c>
      <c r="F15" s="109">
        <v>81.150000000000006</v>
      </c>
      <c r="G15" s="217">
        <v>3.5000000000000003E-2</v>
      </c>
      <c r="H15" s="69">
        <f t="shared" si="38"/>
        <v>85.690250000000006</v>
      </c>
      <c r="I15" s="223">
        <f t="shared" si="22"/>
        <v>85.69</v>
      </c>
      <c r="J15" s="233">
        <v>1.7</v>
      </c>
      <c r="K15" s="111">
        <f t="shared" si="23"/>
        <v>89.117599999999996</v>
      </c>
      <c r="L15" s="228">
        <f t="shared" si="16"/>
        <v>89.12</v>
      </c>
      <c r="M15" s="58">
        <f t="shared" si="24"/>
        <v>623.82319999999993</v>
      </c>
      <c r="N15" s="202">
        <f t="shared" si="25"/>
        <v>102.82799999999999</v>
      </c>
      <c r="O15" s="67">
        <f t="shared" si="17"/>
        <v>102.83</v>
      </c>
      <c r="P15" s="69">
        <f t="shared" si="26"/>
        <v>623.82319999999993</v>
      </c>
      <c r="Q15" s="70">
        <f t="shared" si="27"/>
        <v>2762.6455999999998</v>
      </c>
      <c r="R15" s="70">
        <f t="shared" si="28"/>
        <v>2710.6603333333333</v>
      </c>
      <c r="S15" s="71">
        <f t="shared" si="29"/>
        <v>32527.923999999999</v>
      </c>
      <c r="T15" s="59">
        <f t="shared" si="30"/>
        <v>2879.1839999999997</v>
      </c>
      <c r="U15" s="106">
        <f t="shared" si="31"/>
        <v>30032.6312</v>
      </c>
      <c r="V15" s="106">
        <f t="shared" si="32"/>
        <v>32911.815199999997</v>
      </c>
      <c r="W15" s="106">
        <v>750</v>
      </c>
      <c r="X15" s="109">
        <f t="shared" si="33"/>
        <v>3629.1839999999997</v>
      </c>
      <c r="Y15" s="57">
        <f t="shared" si="39"/>
        <v>623.82319999999993</v>
      </c>
      <c r="Z15" s="111">
        <f t="shared" si="34"/>
        <v>2879.1839999999997</v>
      </c>
      <c r="AA15" s="111">
        <f>W15</f>
        <v>750</v>
      </c>
      <c r="AB15" s="111">
        <f t="shared" si="35"/>
        <v>3629.1839999999997</v>
      </c>
      <c r="AC15" s="111">
        <f t="shared" si="36"/>
        <v>2710.6603333333333</v>
      </c>
      <c r="AD15" s="58">
        <f t="shared" si="37"/>
        <v>2762.6455999999998</v>
      </c>
    </row>
    <row r="16" spans="1:31" s="296" customFormat="1" ht="15.75" x14ac:dyDescent="0.25">
      <c r="A16" s="288"/>
      <c r="B16" s="289" t="s">
        <v>23</v>
      </c>
      <c r="C16" s="289" t="s">
        <v>40</v>
      </c>
      <c r="D16" s="289"/>
      <c r="E16" s="36">
        <v>11</v>
      </c>
      <c r="F16" s="290">
        <v>85.09</v>
      </c>
      <c r="G16" s="291">
        <v>3.5000000000000003E-2</v>
      </c>
      <c r="H16" s="292">
        <f t="shared" si="38"/>
        <v>90.138149999999996</v>
      </c>
      <c r="I16" s="293">
        <f t="shared" si="22"/>
        <v>90.14</v>
      </c>
      <c r="J16" s="233">
        <v>2.0699999999999998</v>
      </c>
      <c r="K16" s="294">
        <f t="shared" si="23"/>
        <v>93.74560000000001</v>
      </c>
      <c r="L16" s="295">
        <f t="shared" si="16"/>
        <v>93.75</v>
      </c>
      <c r="M16" s="290">
        <f t="shared" si="24"/>
        <v>656.21920000000011</v>
      </c>
      <c r="N16" s="295">
        <f t="shared" si="25"/>
        <v>108.16799999999999</v>
      </c>
      <c r="O16" s="290">
        <f t="shared" si="17"/>
        <v>108.17</v>
      </c>
      <c r="P16" s="292">
        <f t="shared" si="26"/>
        <v>656.21920000000011</v>
      </c>
      <c r="Q16" s="294">
        <f t="shared" si="27"/>
        <v>2906.1136000000001</v>
      </c>
      <c r="R16" s="294">
        <f t="shared" si="28"/>
        <v>2851.4286666666667</v>
      </c>
      <c r="S16" s="290">
        <f t="shared" si="29"/>
        <v>34217.144</v>
      </c>
      <c r="T16" s="292">
        <f t="shared" si="30"/>
        <v>3028.7039999999997</v>
      </c>
      <c r="U16" s="294">
        <f t="shared" si="31"/>
        <v>31592.267200000002</v>
      </c>
      <c r="V16" s="294">
        <f t="shared" si="32"/>
        <v>34620.9712</v>
      </c>
      <c r="W16" s="294">
        <v>750</v>
      </c>
      <c r="X16" s="290">
        <f t="shared" si="33"/>
        <v>3778.7039999999997</v>
      </c>
      <c r="Y16" s="292">
        <f t="shared" si="39"/>
        <v>656.21920000000011</v>
      </c>
      <c r="Z16" s="294">
        <f t="shared" si="34"/>
        <v>3028.7039999999997</v>
      </c>
      <c r="AA16" s="294">
        <f>W16</f>
        <v>750</v>
      </c>
      <c r="AB16" s="294">
        <f t="shared" si="35"/>
        <v>3778.7039999999997</v>
      </c>
      <c r="AC16" s="294">
        <f t="shared" si="36"/>
        <v>2851.4286666666667</v>
      </c>
      <c r="AD16" s="290">
        <f t="shared" si="37"/>
        <v>2906.1136000000001</v>
      </c>
    </row>
    <row r="17" spans="1:30" ht="15.75" x14ac:dyDescent="0.25">
      <c r="A17" s="34"/>
      <c r="B17" s="35" t="s">
        <v>23</v>
      </c>
      <c r="C17" s="35" t="s">
        <v>41</v>
      </c>
      <c r="D17" s="35"/>
      <c r="E17" s="36">
        <v>2</v>
      </c>
      <c r="F17" s="109">
        <v>95.31</v>
      </c>
      <c r="G17" s="217">
        <v>3.2000000000000001E-2</v>
      </c>
      <c r="H17" s="69">
        <f t="shared" si="38"/>
        <v>100.53992000000001</v>
      </c>
      <c r="I17" s="223">
        <f t="shared" si="22"/>
        <v>100.54</v>
      </c>
      <c r="J17" s="233">
        <v>2.1800000000000002</v>
      </c>
      <c r="K17" s="111">
        <f t="shared" si="23"/>
        <v>104.56160000000001</v>
      </c>
      <c r="L17" s="228">
        <f t="shared" si="16"/>
        <v>104.56</v>
      </c>
      <c r="M17" s="58">
        <f t="shared" si="24"/>
        <v>731.9312000000001</v>
      </c>
      <c r="N17" s="202">
        <f t="shared" si="25"/>
        <v>120.648</v>
      </c>
      <c r="O17" s="67">
        <f t="shared" si="17"/>
        <v>120.65</v>
      </c>
      <c r="P17" s="69">
        <f t="shared" si="26"/>
        <v>731.9312000000001</v>
      </c>
      <c r="Q17" s="70">
        <f t="shared" si="27"/>
        <v>3241.4096000000004</v>
      </c>
      <c r="R17" s="70">
        <f t="shared" si="28"/>
        <v>3180.4153333333338</v>
      </c>
      <c r="S17" s="71">
        <f t="shared" si="29"/>
        <v>38164.984000000004</v>
      </c>
      <c r="T17" s="59">
        <f t="shared" si="30"/>
        <v>3378.1439999999998</v>
      </c>
      <c r="U17" s="106">
        <f t="shared" si="31"/>
        <v>35237.259200000008</v>
      </c>
      <c r="V17" s="106">
        <f t="shared" si="32"/>
        <v>38615.403200000008</v>
      </c>
      <c r="W17" s="106">
        <v>750</v>
      </c>
      <c r="X17" s="109">
        <f t="shared" si="33"/>
        <v>4128.1440000000002</v>
      </c>
      <c r="Y17" s="57">
        <f t="shared" si="39"/>
        <v>731.9312000000001</v>
      </c>
      <c r="Z17" s="111">
        <f t="shared" si="34"/>
        <v>3378.1439999999998</v>
      </c>
      <c r="AA17" s="111">
        <f>W17</f>
        <v>750</v>
      </c>
      <c r="AB17" s="111">
        <f t="shared" si="35"/>
        <v>4128.1440000000002</v>
      </c>
      <c r="AC17" s="111">
        <f t="shared" si="36"/>
        <v>3180.4153333333338</v>
      </c>
      <c r="AD17" s="58">
        <f t="shared" si="37"/>
        <v>3241.4096000000004</v>
      </c>
    </row>
    <row r="18" spans="1:30" ht="16.5" thickBot="1" x14ac:dyDescent="0.3">
      <c r="A18" s="204"/>
      <c r="B18" s="205"/>
      <c r="C18" s="77"/>
      <c r="D18" s="77"/>
      <c r="E18" s="206">
        <f>SUM(E2:E17)</f>
        <v>636</v>
      </c>
      <c r="F18" s="87"/>
      <c r="G18" s="97"/>
      <c r="H18" s="92"/>
      <c r="I18" s="224"/>
      <c r="J18" s="234"/>
      <c r="K18" s="98"/>
      <c r="L18" s="229"/>
      <c r="M18" s="99"/>
      <c r="N18" s="203"/>
      <c r="O18" s="91"/>
      <c r="P18" s="92"/>
      <c r="Q18" s="93"/>
      <c r="R18" s="93"/>
      <c r="S18" s="94"/>
      <c r="T18" s="97"/>
      <c r="U18" s="84"/>
      <c r="V18" s="84"/>
      <c r="W18" s="84"/>
      <c r="X18" s="110"/>
      <c r="Y18" s="236"/>
      <c r="Z18" s="98"/>
      <c r="AA18" s="98"/>
      <c r="AB18" s="98"/>
      <c r="AC18" s="98"/>
      <c r="AD18" s="99"/>
    </row>
    <row r="19" spans="1:30" x14ac:dyDescent="0.25">
      <c r="E19" s="100"/>
    </row>
    <row r="21" spans="1:30" x14ac:dyDescent="0.25">
      <c r="C21" s="60"/>
      <c r="K21" s="102"/>
    </row>
    <row r="22" spans="1:30" x14ac:dyDescent="0.25">
      <c r="C22" s="102"/>
      <c r="K22" s="102"/>
    </row>
    <row r="23" spans="1:30" x14ac:dyDescent="0.25">
      <c r="C23" s="102"/>
      <c r="K23" s="102"/>
    </row>
    <row r="24" spans="1:30" x14ac:dyDescent="0.25">
      <c r="C24" s="102"/>
      <c r="K24" s="102"/>
    </row>
  </sheetData>
  <mergeCells count="6">
    <mergeCell ref="Y1:AD1"/>
    <mergeCell ref="G1:I1"/>
    <mergeCell ref="K1:M1"/>
    <mergeCell ref="N1:O1"/>
    <mergeCell ref="P1:S1"/>
    <mergeCell ref="T1:X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11D7-ECA1-49AA-8542-872C0F3766F5}">
  <sheetPr>
    <tabColor rgb="FF00B0F0"/>
  </sheetPr>
  <dimension ref="A1:G44"/>
  <sheetViews>
    <sheetView topLeftCell="A23" workbookViewId="0">
      <selection activeCell="F6" sqref="F6"/>
    </sheetView>
  </sheetViews>
  <sheetFormatPr defaultRowHeight="15" x14ac:dyDescent="0.25"/>
  <cols>
    <col min="1" max="1" width="43.42578125" bestFit="1" customWidth="1"/>
    <col min="3" max="3" width="13.140625" customWidth="1"/>
    <col min="4" max="4" width="12.140625" customWidth="1"/>
    <col min="5" max="5" width="10.42578125" customWidth="1"/>
    <col min="6" max="6" width="11.85546875" customWidth="1"/>
    <col min="7" max="7" width="12" customWidth="1"/>
  </cols>
  <sheetData>
    <row r="1" spans="1:7" x14ac:dyDescent="0.25">
      <c r="C1" s="112"/>
      <c r="D1" s="112"/>
      <c r="E1" s="112"/>
      <c r="F1" s="112"/>
      <c r="G1" s="112"/>
    </row>
    <row r="2" spans="1:7" x14ac:dyDescent="0.25">
      <c r="C2" s="112"/>
      <c r="D2" s="112"/>
      <c r="E2" s="112"/>
      <c r="F2" s="112"/>
      <c r="G2" s="112"/>
    </row>
    <row r="3" spans="1:7" ht="21" x14ac:dyDescent="0.25">
      <c r="A3" s="113" t="s">
        <v>44</v>
      </c>
      <c r="C3" s="112"/>
      <c r="D3" s="112"/>
      <c r="E3" s="112"/>
      <c r="F3" s="112"/>
      <c r="G3" s="112"/>
    </row>
    <row r="4" spans="1:7" x14ac:dyDescent="0.25">
      <c r="A4" s="114"/>
      <c r="C4" s="112"/>
      <c r="D4" s="112"/>
      <c r="E4" s="112"/>
      <c r="F4" s="112"/>
      <c r="G4" s="112"/>
    </row>
    <row r="5" spans="1:7" x14ac:dyDescent="0.25">
      <c r="A5" s="237" t="s">
        <v>140</v>
      </c>
      <c r="C5" s="112"/>
      <c r="D5" s="112"/>
      <c r="E5" s="112"/>
      <c r="F5" s="112"/>
      <c r="G5" s="112"/>
    </row>
    <row r="6" spans="1:7" ht="60" x14ac:dyDescent="0.25">
      <c r="A6" s="115" t="s">
        <v>45</v>
      </c>
      <c r="B6" s="115" t="s">
        <v>46</v>
      </c>
      <c r="C6" s="116" t="s">
        <v>47</v>
      </c>
      <c r="D6" s="116" t="s">
        <v>48</v>
      </c>
      <c r="E6" s="116" t="s">
        <v>18</v>
      </c>
      <c r="F6" s="116" t="s">
        <v>49</v>
      </c>
      <c r="G6" s="116" t="s">
        <v>143</v>
      </c>
    </row>
    <row r="7" spans="1:7" x14ac:dyDescent="0.25">
      <c r="A7" s="117" t="s">
        <v>50</v>
      </c>
      <c r="B7" s="238">
        <f>Master!E5</f>
        <v>67</v>
      </c>
      <c r="C7" s="118">
        <f>Master!Y5</f>
        <v>317.77199999999999</v>
      </c>
      <c r="D7" s="118">
        <f>Master!AD5</f>
        <v>1407.2760000000001</v>
      </c>
      <c r="E7" s="119">
        <f>Master!AA5</f>
        <v>400</v>
      </c>
      <c r="F7" s="119">
        <f>Master!AB5</f>
        <v>1866.6399999999999</v>
      </c>
      <c r="G7" s="119">
        <v>0</v>
      </c>
    </row>
    <row r="8" spans="1:7" x14ac:dyDescent="0.25">
      <c r="A8" s="117" t="s">
        <v>51</v>
      </c>
      <c r="B8" s="238">
        <f>Master!E6</f>
        <v>249</v>
      </c>
      <c r="C8" s="118">
        <f>Master!Y6</f>
        <v>289.81680000000006</v>
      </c>
      <c r="D8" s="118">
        <f>Master!AD6</f>
        <v>1283.4744000000003</v>
      </c>
      <c r="E8" s="119">
        <f>Master!AA6</f>
        <v>400</v>
      </c>
      <c r="F8" s="119">
        <f>Master!AB6</f>
        <v>1737.616</v>
      </c>
      <c r="G8" s="119">
        <v>0</v>
      </c>
    </row>
    <row r="9" spans="1:7" x14ac:dyDescent="0.25">
      <c r="A9" s="117" t="s">
        <v>52</v>
      </c>
      <c r="B9" s="238">
        <f>Master!E7</f>
        <v>64</v>
      </c>
      <c r="C9" s="118">
        <f>Master!Y7</f>
        <v>258.7312</v>
      </c>
      <c r="D9" s="118">
        <f>Master!AD7</f>
        <v>1145.8095999999998</v>
      </c>
      <c r="E9" s="119">
        <f>Master!AA7</f>
        <v>400</v>
      </c>
      <c r="F9" s="119">
        <f>Master!AB7</f>
        <v>1594.1439999999998</v>
      </c>
      <c r="G9" s="119">
        <v>0</v>
      </c>
    </row>
    <row r="10" spans="1:7" x14ac:dyDescent="0.25">
      <c r="A10" s="237" t="s">
        <v>53</v>
      </c>
      <c r="C10" s="112"/>
      <c r="D10" s="112"/>
      <c r="E10" s="112"/>
      <c r="F10" s="112"/>
      <c r="G10" s="112"/>
    </row>
    <row r="11" spans="1:7" ht="60" x14ac:dyDescent="0.25">
      <c r="A11" s="120" t="s">
        <v>45</v>
      </c>
      <c r="B11" s="120" t="s">
        <v>46</v>
      </c>
      <c r="C11" s="121" t="s">
        <v>54</v>
      </c>
      <c r="D11" s="121" t="s">
        <v>48</v>
      </c>
      <c r="E11" s="121" t="s">
        <v>18</v>
      </c>
      <c r="F11" s="121" t="s">
        <v>49</v>
      </c>
      <c r="G11" s="121" t="s">
        <v>143</v>
      </c>
    </row>
    <row r="12" spans="1:7" x14ac:dyDescent="0.25">
      <c r="A12" s="117" t="s">
        <v>55</v>
      </c>
      <c r="B12" s="117">
        <v>128</v>
      </c>
      <c r="C12" s="122">
        <f>Master!Y3</f>
        <v>378.56</v>
      </c>
      <c r="D12" s="122">
        <f>Master!AD3</f>
        <v>1676.48</v>
      </c>
      <c r="E12" s="122">
        <f>Master!AA3</f>
        <v>400</v>
      </c>
      <c r="F12" s="123">
        <f>Master!AB3</f>
        <v>2147.1999999999998</v>
      </c>
      <c r="G12" s="122">
        <v>0</v>
      </c>
    </row>
    <row r="13" spans="1:7" x14ac:dyDescent="0.25">
      <c r="A13" s="117" t="s">
        <v>56</v>
      </c>
      <c r="B13" s="117">
        <v>21</v>
      </c>
      <c r="C13" s="122">
        <f>Master!Y4</f>
        <v>352.57040000000001</v>
      </c>
      <c r="D13" s="122">
        <f>Master!AD4</f>
        <v>1561.3832000000002</v>
      </c>
      <c r="E13" s="122">
        <f>Master!AA4</f>
        <v>400</v>
      </c>
      <c r="F13" s="123">
        <f>Master!AB4</f>
        <v>2027.248</v>
      </c>
      <c r="G13" s="122">
        <v>0</v>
      </c>
    </row>
    <row r="14" spans="1:7" ht="15.75" x14ac:dyDescent="0.25">
      <c r="A14" s="117" t="s">
        <v>157</v>
      </c>
      <c r="B14" s="117">
        <v>5</v>
      </c>
      <c r="C14" s="122">
        <f>Master!Y11</f>
        <v>464.6096</v>
      </c>
      <c r="D14" s="122">
        <f>Master!AD11</f>
        <v>2057.5567999999998</v>
      </c>
      <c r="E14" s="122">
        <f>Master!AA11</f>
        <v>750</v>
      </c>
      <c r="F14" s="122">
        <f>Master!AB11</f>
        <v>2894.3519999999999</v>
      </c>
      <c r="G14" s="239">
        <v>1638.28</v>
      </c>
    </row>
    <row r="15" spans="1:7" x14ac:dyDescent="0.25">
      <c r="A15" s="124"/>
      <c r="B15" s="124"/>
      <c r="C15" s="125"/>
      <c r="D15" s="125"/>
      <c r="E15" s="126"/>
      <c r="F15" s="125"/>
      <c r="G15" s="125"/>
    </row>
    <row r="16" spans="1:7" ht="21" x14ac:dyDescent="0.25">
      <c r="A16" s="113" t="s">
        <v>57</v>
      </c>
      <c r="C16" s="112"/>
      <c r="D16" s="112"/>
      <c r="E16" s="112"/>
      <c r="F16" s="112"/>
      <c r="G16" s="112"/>
    </row>
    <row r="17" spans="1:7" ht="60" x14ac:dyDescent="0.25">
      <c r="A17" s="120" t="s">
        <v>45</v>
      </c>
      <c r="B17" s="120" t="s">
        <v>46</v>
      </c>
      <c r="C17" s="121" t="s">
        <v>54</v>
      </c>
      <c r="D17" s="121" t="s">
        <v>48</v>
      </c>
      <c r="E17" s="121" t="s">
        <v>18</v>
      </c>
      <c r="F17" s="121" t="s">
        <v>49</v>
      </c>
      <c r="G17" s="121" t="s">
        <v>143</v>
      </c>
    </row>
    <row r="18" spans="1:7" x14ac:dyDescent="0.25">
      <c r="A18" s="117" t="s">
        <v>58</v>
      </c>
      <c r="B18" s="238">
        <f>Master!E8</f>
        <v>4</v>
      </c>
      <c r="C18" s="119">
        <f>Master!Y8</f>
        <v>399.8904</v>
      </c>
      <c r="D18" s="119">
        <f>Master!Q8</f>
        <v>1770.9432000000002</v>
      </c>
      <c r="E18" s="119">
        <f>Master!AA8</f>
        <v>400</v>
      </c>
      <c r="F18" s="118">
        <f>Master!AB8</f>
        <v>2245.6480000000001</v>
      </c>
      <c r="G18" s="119">
        <v>0</v>
      </c>
    </row>
    <row r="19" spans="1:7" ht="15.75" x14ac:dyDescent="0.25">
      <c r="A19" s="117" t="s">
        <v>156</v>
      </c>
      <c r="B19" s="238">
        <f>Master!E10</f>
        <v>16</v>
      </c>
      <c r="C19" s="118">
        <f>Master!Y10</f>
        <v>487.32319999999999</v>
      </c>
      <c r="D19" s="119">
        <f>Master!Q10</f>
        <v>2158.1455999999998</v>
      </c>
      <c r="E19" s="119">
        <f>Master!AA10</f>
        <v>750</v>
      </c>
      <c r="F19" s="119">
        <f>Master!AB10</f>
        <v>2999.1839999999997</v>
      </c>
      <c r="G19" s="240">
        <v>1638.28</v>
      </c>
    </row>
    <row r="20" spans="1:7" ht="15.75" x14ac:dyDescent="0.25">
      <c r="A20" s="117" t="s">
        <v>59</v>
      </c>
      <c r="B20" s="238">
        <f>Master!E12</f>
        <v>34</v>
      </c>
      <c r="C20" s="119">
        <f>Master!P12</f>
        <v>556.77440000000001</v>
      </c>
      <c r="D20" s="119">
        <f>Master!Q12</f>
        <v>2465.7152000000001</v>
      </c>
      <c r="E20" s="119">
        <f>Master!AA12</f>
        <v>750</v>
      </c>
      <c r="F20" s="119">
        <f>Master!AB12</f>
        <v>3319.7280000000001</v>
      </c>
      <c r="G20" s="240">
        <v>1872.32</v>
      </c>
    </row>
    <row r="21" spans="1:7" ht="15.75" x14ac:dyDescent="0.25">
      <c r="A21" s="117" t="s">
        <v>141</v>
      </c>
      <c r="B21" s="238">
        <f>Master!E13</f>
        <v>4</v>
      </c>
      <c r="C21" s="118">
        <f>Master!Y13</f>
        <v>638.89280000000008</v>
      </c>
      <c r="D21" s="119">
        <f>Master!AD13</f>
        <v>2829.3824000000004</v>
      </c>
      <c r="E21" s="119">
        <f>Master!AA13</f>
        <v>750</v>
      </c>
      <c r="F21" s="119">
        <f>Master!AB13</f>
        <v>3698.7359999999999</v>
      </c>
      <c r="G21" s="300" t="s">
        <v>144</v>
      </c>
    </row>
    <row r="22" spans="1:7" ht="15.75" x14ac:dyDescent="0.25">
      <c r="A22" s="117" t="s">
        <v>142</v>
      </c>
      <c r="B22" s="238">
        <f>Master!E14</f>
        <v>4</v>
      </c>
      <c r="C22" s="118">
        <f>Master!Y14</f>
        <v>597.83360000000005</v>
      </c>
      <c r="D22" s="119">
        <f>Master!AD14</f>
        <v>2647.5488000000005</v>
      </c>
      <c r="E22" s="119">
        <f>Master!AA14</f>
        <v>750</v>
      </c>
      <c r="F22" s="119">
        <f>Master!AB14</f>
        <v>3509.232</v>
      </c>
      <c r="G22" s="300" t="s">
        <v>145</v>
      </c>
    </row>
    <row r="23" spans="1:7" x14ac:dyDescent="0.25">
      <c r="A23" s="124"/>
      <c r="B23" s="124"/>
      <c r="C23" s="125"/>
      <c r="D23" s="125"/>
      <c r="E23" s="126"/>
      <c r="F23" s="125"/>
      <c r="G23" s="125"/>
    </row>
    <row r="24" spans="1:7" ht="21" x14ac:dyDescent="0.25">
      <c r="A24" s="113" t="s">
        <v>60</v>
      </c>
      <c r="C24" s="112"/>
      <c r="D24" s="112"/>
      <c r="E24" s="112"/>
      <c r="F24" s="112"/>
      <c r="G24" s="112"/>
    </row>
    <row r="25" spans="1:7" ht="60" x14ac:dyDescent="0.25">
      <c r="A25" s="120" t="s">
        <v>45</v>
      </c>
      <c r="B25" s="120" t="s">
        <v>46</v>
      </c>
      <c r="C25" s="121" t="s">
        <v>54</v>
      </c>
      <c r="D25" s="121" t="s">
        <v>48</v>
      </c>
      <c r="E25" s="121" t="s">
        <v>18</v>
      </c>
      <c r="F25" s="197" t="s">
        <v>49</v>
      </c>
      <c r="G25" s="121" t="s">
        <v>143</v>
      </c>
    </row>
    <row r="26" spans="1:7" ht="15.75" x14ac:dyDescent="0.25">
      <c r="A26" s="117" t="s">
        <v>154</v>
      </c>
      <c r="B26" s="238">
        <f>Master!E15</f>
        <v>20</v>
      </c>
      <c r="C26" s="119">
        <f>Master!P15</f>
        <v>623.82319999999993</v>
      </c>
      <c r="D26" s="119">
        <f>Master!Q15</f>
        <v>2762.6455999999998</v>
      </c>
      <c r="E26" s="119">
        <f>Master!AA15</f>
        <v>750</v>
      </c>
      <c r="F26" s="119">
        <f>Master!AB15</f>
        <v>3629.1839999999997</v>
      </c>
      <c r="G26" s="240">
        <v>2106.36</v>
      </c>
    </row>
    <row r="27" spans="1:7" ht="15.75" x14ac:dyDescent="0.25">
      <c r="A27" s="117" t="s">
        <v>155</v>
      </c>
      <c r="B27" s="238">
        <f>Master!E16</f>
        <v>11</v>
      </c>
      <c r="C27" s="119">
        <f>Master!P16</f>
        <v>656.21920000000011</v>
      </c>
      <c r="D27" s="119">
        <f>Master!Q16</f>
        <v>2906.1136000000001</v>
      </c>
      <c r="E27" s="119">
        <f>Master!AA16</f>
        <v>750</v>
      </c>
      <c r="F27" s="119">
        <f>Master!AB16</f>
        <v>3778.7039999999997</v>
      </c>
      <c r="G27" s="240">
        <v>2106.36</v>
      </c>
    </row>
    <row r="28" spans="1:7" ht="15.75" x14ac:dyDescent="0.25">
      <c r="A28" s="117" t="s">
        <v>112</v>
      </c>
      <c r="B28" s="238">
        <f>Master!E17</f>
        <v>2</v>
      </c>
      <c r="C28" s="119">
        <f>Master!P17</f>
        <v>731.9312000000001</v>
      </c>
      <c r="D28" s="119">
        <f>Master!Q17</f>
        <v>3241.4096000000004</v>
      </c>
      <c r="E28" s="119">
        <f>Master!AA17</f>
        <v>750</v>
      </c>
      <c r="F28" s="119">
        <f>Master!AB17</f>
        <v>4128.1440000000002</v>
      </c>
      <c r="G28" s="240">
        <v>2574.44</v>
      </c>
    </row>
    <row r="29" spans="1:7" x14ac:dyDescent="0.25">
      <c r="A29" s="124"/>
      <c r="B29" s="124"/>
      <c r="C29" s="125"/>
      <c r="D29" s="125"/>
      <c r="E29" s="126"/>
      <c r="F29" s="125"/>
      <c r="G29" s="127"/>
    </row>
    <row r="30" spans="1:7" ht="21" x14ac:dyDescent="0.25">
      <c r="A30" s="113" t="s">
        <v>61</v>
      </c>
      <c r="C30" s="112"/>
      <c r="D30" s="112"/>
      <c r="E30" s="112"/>
      <c r="F30" s="112"/>
      <c r="G30" s="112"/>
    </row>
    <row r="31" spans="1:7" ht="60" x14ac:dyDescent="0.25">
      <c r="A31" s="115" t="s">
        <v>45</v>
      </c>
      <c r="B31" s="115" t="s">
        <v>46</v>
      </c>
      <c r="C31" s="116" t="s">
        <v>54</v>
      </c>
      <c r="D31" s="116" t="s">
        <v>48</v>
      </c>
      <c r="E31" s="116" t="s">
        <v>18</v>
      </c>
      <c r="F31" s="116" t="s">
        <v>49</v>
      </c>
      <c r="G31" s="116" t="s">
        <v>143</v>
      </c>
    </row>
    <row r="32" spans="1:7" x14ac:dyDescent="0.25">
      <c r="A32" s="117" t="s">
        <v>62</v>
      </c>
      <c r="B32" s="117">
        <v>5</v>
      </c>
      <c r="C32" s="118">
        <f>Master!Y3</f>
        <v>378.56</v>
      </c>
      <c r="D32" s="119">
        <f>Master!AD3</f>
        <v>1676.48</v>
      </c>
      <c r="E32" s="119">
        <f>Master!AA3</f>
        <v>400</v>
      </c>
      <c r="F32" s="119">
        <f>Master!AB3</f>
        <v>2147.1999999999998</v>
      </c>
      <c r="G32" s="119">
        <v>0</v>
      </c>
    </row>
    <row r="33" spans="1:7" ht="15.75" x14ac:dyDescent="0.25">
      <c r="A33" s="117" t="s">
        <v>63</v>
      </c>
      <c r="B33" s="117">
        <v>2</v>
      </c>
      <c r="C33" s="118">
        <f>Master!Y11</f>
        <v>464.6096</v>
      </c>
      <c r="D33" s="119">
        <f>Master!AD11</f>
        <v>2057.5567999999998</v>
      </c>
      <c r="E33" s="119">
        <f>Master!AA11</f>
        <v>750</v>
      </c>
      <c r="F33" s="119">
        <f>Master!AB11</f>
        <v>2894.3519999999999</v>
      </c>
      <c r="G33" s="240">
        <v>1638.28</v>
      </c>
    </row>
    <row r="34" spans="1:7" x14ac:dyDescent="0.25">
      <c r="C34" s="112"/>
      <c r="D34" s="112"/>
      <c r="E34" s="112"/>
      <c r="F34" s="112"/>
      <c r="G34" s="112"/>
    </row>
    <row r="35" spans="1:7" x14ac:dyDescent="0.25">
      <c r="C35" s="112"/>
      <c r="D35" s="112"/>
      <c r="E35" s="112"/>
      <c r="F35" s="112"/>
      <c r="G35" s="112"/>
    </row>
    <row r="36" spans="1:7" ht="43.15" customHeight="1" x14ac:dyDescent="0.25">
      <c r="A36" s="297" t="s">
        <v>153</v>
      </c>
      <c r="B36" s="298"/>
      <c r="C36" s="298"/>
      <c r="D36" s="298"/>
      <c r="E36" s="298"/>
      <c r="F36" s="298"/>
      <c r="G36" s="298"/>
    </row>
    <row r="37" spans="1:7" x14ac:dyDescent="0.25">
      <c r="A37" s="299" t="s">
        <v>146</v>
      </c>
      <c r="B37" s="199"/>
      <c r="C37" s="200"/>
      <c r="D37" s="200"/>
      <c r="E37" s="200"/>
      <c r="F37" s="200"/>
      <c r="G37" s="200"/>
    </row>
    <row r="38" spans="1:7" x14ac:dyDescent="0.25">
      <c r="A38" s="199"/>
      <c r="B38" s="199"/>
      <c r="C38" s="200"/>
      <c r="D38" s="200"/>
      <c r="E38" s="200"/>
      <c r="F38" s="200"/>
      <c r="G38" s="200"/>
    </row>
    <row r="39" spans="1:7" x14ac:dyDescent="0.25">
      <c r="C39" s="112"/>
      <c r="D39" s="112"/>
      <c r="E39" s="112"/>
      <c r="F39" s="112"/>
      <c r="G39" s="112"/>
    </row>
    <row r="40" spans="1:7" x14ac:dyDescent="0.25">
      <c r="C40" s="112"/>
      <c r="D40" s="112"/>
      <c r="E40" s="112"/>
      <c r="F40" s="112"/>
      <c r="G40" s="112"/>
    </row>
    <row r="41" spans="1:7" x14ac:dyDescent="0.25">
      <c r="C41" s="112"/>
      <c r="D41" s="112"/>
      <c r="E41" s="112"/>
      <c r="F41" s="112"/>
      <c r="G41" s="112"/>
    </row>
    <row r="42" spans="1:7" x14ac:dyDescent="0.25">
      <c r="C42" s="112"/>
      <c r="D42" s="112"/>
      <c r="E42" s="112"/>
      <c r="F42" s="112"/>
      <c r="G42" s="112"/>
    </row>
    <row r="43" spans="1:7" x14ac:dyDescent="0.25">
      <c r="C43" s="112"/>
      <c r="D43" s="112"/>
      <c r="E43" s="112"/>
      <c r="F43" s="112"/>
      <c r="G43" s="112"/>
    </row>
    <row r="44" spans="1:7" x14ac:dyDescent="0.25">
      <c r="C44" s="112"/>
      <c r="D44" s="112"/>
      <c r="E44" s="112"/>
      <c r="F44" s="112"/>
      <c r="G44" s="112"/>
    </row>
  </sheetData>
  <mergeCells count="1">
    <mergeCell ref="A36:G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9FB8F-B068-4243-8E80-F6DACF620B69}">
  <sheetPr>
    <pageSetUpPr fitToPage="1"/>
  </sheetPr>
  <dimension ref="A1:T42"/>
  <sheetViews>
    <sheetView tabSelected="1" zoomScaleNormal="100" workbookViewId="0"/>
  </sheetViews>
  <sheetFormatPr defaultRowHeight="15" x14ac:dyDescent="0.25"/>
  <cols>
    <col min="2" max="2" width="22.7109375" customWidth="1"/>
    <col min="3" max="3" width="9.85546875" bestFit="1" customWidth="1"/>
    <col min="4" max="4" width="12.28515625" customWidth="1"/>
    <col min="5" max="5" width="9.85546875" bestFit="1" customWidth="1"/>
    <col min="6" max="6" width="9.85546875" customWidth="1"/>
    <col min="7" max="7" width="15.5703125" customWidth="1"/>
    <col min="8" max="8" width="9.85546875" bestFit="1" customWidth="1"/>
    <col min="9" max="9" width="15.42578125" customWidth="1"/>
    <col min="10" max="11" width="13.85546875" bestFit="1" customWidth="1"/>
    <col min="12" max="12" width="12.42578125" customWidth="1"/>
    <col min="13" max="15" width="9.85546875" bestFit="1" customWidth="1"/>
    <col min="16" max="16" width="12.140625" bestFit="1" customWidth="1"/>
    <col min="17" max="20" width="9.85546875" bestFit="1" customWidth="1"/>
    <col min="21" max="21" width="9.7109375" customWidth="1"/>
  </cols>
  <sheetData>
    <row r="1" spans="1:20" ht="164.45" customHeight="1" thickBot="1" x14ac:dyDescent="0.3">
      <c r="A1" s="151"/>
      <c r="B1" s="152"/>
      <c r="C1" s="152" t="s">
        <v>66</v>
      </c>
      <c r="D1" s="152" t="s">
        <v>64</v>
      </c>
      <c r="E1" s="152" t="s">
        <v>49</v>
      </c>
      <c r="F1" s="152" t="s">
        <v>81</v>
      </c>
      <c r="G1" s="131" t="s">
        <v>82</v>
      </c>
      <c r="H1" s="159" t="s">
        <v>78</v>
      </c>
      <c r="I1" s="160" t="s">
        <v>150</v>
      </c>
      <c r="J1" s="266" t="s">
        <v>151</v>
      </c>
      <c r="K1" s="267"/>
      <c r="L1" s="267"/>
      <c r="M1" s="267"/>
      <c r="N1" s="267"/>
      <c r="O1" s="267"/>
      <c r="P1" s="267"/>
      <c r="Q1" s="267"/>
      <c r="R1" s="267"/>
      <c r="S1" s="267"/>
      <c r="T1" s="153"/>
    </row>
    <row r="2" spans="1:20" ht="15.75" thickBot="1" x14ac:dyDescent="0.3">
      <c r="A2" s="155"/>
      <c r="B2" s="156"/>
      <c r="C2" s="156"/>
      <c r="D2" s="156"/>
      <c r="E2" s="156"/>
      <c r="F2" s="156"/>
      <c r="G2" s="157"/>
      <c r="H2" s="130"/>
      <c r="I2" s="162"/>
      <c r="J2" s="158">
        <v>46327</v>
      </c>
      <c r="K2" s="158">
        <v>46357</v>
      </c>
      <c r="L2" s="158">
        <v>46388</v>
      </c>
      <c r="M2" s="158">
        <v>46419</v>
      </c>
      <c r="N2" s="158">
        <v>46447</v>
      </c>
      <c r="O2" s="158">
        <v>46478</v>
      </c>
      <c r="P2" s="158">
        <v>46508</v>
      </c>
      <c r="Q2" s="158">
        <v>46539</v>
      </c>
      <c r="R2" s="158">
        <v>46569</v>
      </c>
      <c r="S2" s="158">
        <v>46600</v>
      </c>
      <c r="T2" s="154" t="s">
        <v>152</v>
      </c>
    </row>
    <row r="3" spans="1:20" ht="21" x14ac:dyDescent="0.35">
      <c r="A3" s="282"/>
      <c r="B3" s="129"/>
      <c r="C3" s="129"/>
      <c r="D3" s="129"/>
      <c r="E3" s="129"/>
      <c r="F3" s="129"/>
      <c r="G3" s="132"/>
      <c r="H3" s="161"/>
      <c r="I3" s="163"/>
      <c r="J3" s="164">
        <v>30</v>
      </c>
      <c r="K3" s="165">
        <v>31</v>
      </c>
      <c r="L3" s="164">
        <v>31</v>
      </c>
      <c r="M3" s="165">
        <v>28</v>
      </c>
      <c r="N3" s="164">
        <v>31</v>
      </c>
      <c r="O3" s="165">
        <v>30</v>
      </c>
      <c r="P3" s="164">
        <v>31</v>
      </c>
      <c r="Q3" s="165">
        <v>30</v>
      </c>
      <c r="R3" s="164">
        <v>31</v>
      </c>
      <c r="S3" s="165">
        <v>31</v>
      </c>
      <c r="T3" s="154"/>
    </row>
    <row r="4" spans="1:20" ht="30" x14ac:dyDescent="0.25">
      <c r="A4" s="283" t="s">
        <v>44</v>
      </c>
      <c r="B4" s="192" t="s">
        <v>116</v>
      </c>
      <c r="C4" s="123">
        <f>Master!Z3</f>
        <v>1747.2</v>
      </c>
      <c r="D4" s="123">
        <f>Master!AA3</f>
        <v>400</v>
      </c>
      <c r="E4" s="123">
        <f>Master!AB3</f>
        <v>2147.1999999999998</v>
      </c>
      <c r="F4" s="141">
        <f>Master!H3</f>
        <v>51.998399999999997</v>
      </c>
      <c r="G4" s="133">
        <f>C4</f>
        <v>1747.2</v>
      </c>
      <c r="H4" s="147">
        <f>(Master!K3)*14</f>
        <v>757.12</v>
      </c>
      <c r="I4" s="148">
        <f>H4</f>
        <v>757.12</v>
      </c>
      <c r="J4" s="149">
        <f>(Master!$K$3)*J3</f>
        <v>1622.3999999999999</v>
      </c>
      <c r="K4" s="149">
        <f>(Master!$K$3)*K3</f>
        <v>1676.48</v>
      </c>
      <c r="L4" s="149">
        <f>(Master!$K$3)*L3</f>
        <v>1676.48</v>
      </c>
      <c r="M4" s="149">
        <f>(Master!$K$3)*M3</f>
        <v>1514.24</v>
      </c>
      <c r="N4" s="149">
        <f>(Master!$K$3)*N3</f>
        <v>1676.48</v>
      </c>
      <c r="O4" s="149">
        <f>(Master!$K$3)*O3</f>
        <v>1622.3999999999999</v>
      </c>
      <c r="P4" s="149">
        <f>(Master!$K$3)*P3</f>
        <v>1676.48</v>
      </c>
      <c r="Q4" s="149">
        <f>(Master!$K$3)*Q3</f>
        <v>1622.3999999999999</v>
      </c>
      <c r="R4" s="149">
        <f>(Master!$K$3)*R3</f>
        <v>1676.48</v>
      </c>
      <c r="S4" s="149">
        <f>(Master!$K$3)*S3</f>
        <v>1676.48</v>
      </c>
      <c r="T4" s="262" t="s">
        <v>147</v>
      </c>
    </row>
    <row r="5" spans="1:20" ht="15.75" x14ac:dyDescent="0.25">
      <c r="A5" s="283"/>
      <c r="B5" s="192" t="s">
        <v>68</v>
      </c>
      <c r="C5" s="123">
        <f>Master!Z4</f>
        <v>1627.248</v>
      </c>
      <c r="D5" s="123">
        <f>Master!AA4</f>
        <v>400</v>
      </c>
      <c r="E5" s="123">
        <f>Master!AB4</f>
        <v>2027.248</v>
      </c>
      <c r="F5" s="141">
        <f>Master!H4</f>
        <v>48.427649999999993</v>
      </c>
      <c r="G5" s="133">
        <f t="shared" ref="G5:G19" si="0">C5</f>
        <v>1627.248</v>
      </c>
      <c r="H5" s="147">
        <f>(Master!K4)*14</f>
        <v>705.14080000000001</v>
      </c>
      <c r="I5" s="135">
        <f t="shared" ref="I5:I19" si="1">H5</f>
        <v>705.14080000000001</v>
      </c>
      <c r="J5" s="149">
        <f>(Master!$K$4)*J3</f>
        <v>1511.0160000000001</v>
      </c>
      <c r="K5" s="149">
        <f>(Master!$K$4)*K3</f>
        <v>1561.3832000000002</v>
      </c>
      <c r="L5" s="149">
        <f>(Master!$K$4)*L3</f>
        <v>1561.3832000000002</v>
      </c>
      <c r="M5" s="149">
        <f>(Master!$K$4)*M3</f>
        <v>1410.2816</v>
      </c>
      <c r="N5" s="149">
        <f>(Master!$K$4)*N3</f>
        <v>1561.3832000000002</v>
      </c>
      <c r="O5" s="149">
        <f>(Master!$K$4)*O3</f>
        <v>1511.0160000000001</v>
      </c>
      <c r="P5" s="149">
        <f>(Master!$K$4)*P3</f>
        <v>1561.3832000000002</v>
      </c>
      <c r="Q5" s="149">
        <f>(Master!$K$4)*Q3</f>
        <v>1511.0160000000001</v>
      </c>
      <c r="R5" s="149">
        <f>(Master!$K$4)*R3</f>
        <v>1561.3832000000002</v>
      </c>
      <c r="S5" s="149">
        <f>(Master!$K$4)*S3</f>
        <v>1561.3832000000002</v>
      </c>
      <c r="T5" s="262"/>
    </row>
    <row r="6" spans="1:20" ht="15.75" x14ac:dyDescent="0.25">
      <c r="A6" s="283"/>
      <c r="B6" s="192" t="s">
        <v>69</v>
      </c>
      <c r="C6" s="123">
        <f>Master!Z5</f>
        <v>1466.6399999999999</v>
      </c>
      <c r="D6" s="123">
        <f>Master!AA5</f>
        <v>400</v>
      </c>
      <c r="E6" s="123">
        <f>Master!AB5</f>
        <v>1866.6399999999999</v>
      </c>
      <c r="F6" s="141">
        <f>Master!H5</f>
        <v>43.652200000000001</v>
      </c>
      <c r="G6" s="133">
        <f t="shared" si="0"/>
        <v>1466.6399999999999</v>
      </c>
      <c r="H6" s="147">
        <f>(Master!K5)*14</f>
        <v>635.54399999999998</v>
      </c>
      <c r="I6" s="135">
        <f t="shared" si="1"/>
        <v>635.54399999999998</v>
      </c>
      <c r="J6" s="149">
        <f>(Master!$K$5)*J3</f>
        <v>1361.88</v>
      </c>
      <c r="K6" s="149">
        <f>(Master!$K$5)*K3</f>
        <v>1407.2760000000001</v>
      </c>
      <c r="L6" s="149">
        <f>(Master!$K$5)*L3</f>
        <v>1407.2760000000001</v>
      </c>
      <c r="M6" s="149">
        <f>(Master!$K$5)*M3</f>
        <v>1271.088</v>
      </c>
      <c r="N6" s="149">
        <f>(Master!$K$5)*N3</f>
        <v>1407.2760000000001</v>
      </c>
      <c r="O6" s="149">
        <f>(Master!$K$5)*O3</f>
        <v>1361.88</v>
      </c>
      <c r="P6" s="149">
        <f>(Master!$K$5)*P3</f>
        <v>1407.2760000000001</v>
      </c>
      <c r="Q6" s="149">
        <f>(Master!$K$5)*Q3</f>
        <v>1361.88</v>
      </c>
      <c r="R6" s="149">
        <f>(Master!$K$5)*R3</f>
        <v>1407.2760000000001</v>
      </c>
      <c r="S6" s="149">
        <f>(Master!$K$5)*S3</f>
        <v>1407.2760000000001</v>
      </c>
      <c r="T6" s="262"/>
    </row>
    <row r="7" spans="1:20" ht="15.75" x14ac:dyDescent="0.25">
      <c r="A7" s="283"/>
      <c r="B7" s="192" t="s">
        <v>70</v>
      </c>
      <c r="C7" s="123">
        <f>Master!Z6</f>
        <v>1337.616</v>
      </c>
      <c r="D7" s="123">
        <f>Master!AA6</f>
        <v>400</v>
      </c>
      <c r="E7" s="123">
        <f>Master!AB6</f>
        <v>1737.616</v>
      </c>
      <c r="F7" s="141">
        <f>Master!H6</f>
        <v>39.806100000000001</v>
      </c>
      <c r="G7" s="133">
        <f t="shared" si="0"/>
        <v>1337.616</v>
      </c>
      <c r="H7" s="147">
        <f>(Master!K6)*14</f>
        <v>579.63360000000011</v>
      </c>
      <c r="I7" s="135">
        <f t="shared" si="1"/>
        <v>579.63360000000011</v>
      </c>
      <c r="J7" s="149">
        <f>(Master!$K$6)*J3</f>
        <v>1242.0720000000001</v>
      </c>
      <c r="K7" s="149">
        <f>(Master!$K$6)*K3</f>
        <v>1283.4744000000003</v>
      </c>
      <c r="L7" s="149">
        <f>(Master!$K$6)*L3</f>
        <v>1283.4744000000003</v>
      </c>
      <c r="M7" s="149">
        <f>(Master!$K$6)*M3</f>
        <v>1159.2672000000002</v>
      </c>
      <c r="N7" s="149">
        <f>(Master!$K$6)*N3</f>
        <v>1283.4744000000003</v>
      </c>
      <c r="O7" s="149">
        <f>(Master!$K$6)*O3</f>
        <v>1242.0720000000001</v>
      </c>
      <c r="P7" s="149">
        <f>(Master!$K$6)*P3</f>
        <v>1283.4744000000003</v>
      </c>
      <c r="Q7" s="149">
        <f>(Master!$K$6)*Q3</f>
        <v>1242.0720000000001</v>
      </c>
      <c r="R7" s="149">
        <f>(Master!$K$6)*R3</f>
        <v>1283.4744000000003</v>
      </c>
      <c r="S7" s="149">
        <f>(Master!$K$6)*S3</f>
        <v>1283.4744000000003</v>
      </c>
      <c r="T7" s="262"/>
    </row>
    <row r="8" spans="1:20" ht="15.75" x14ac:dyDescent="0.25">
      <c r="A8" s="283"/>
      <c r="B8" s="192" t="s">
        <v>71</v>
      </c>
      <c r="C8" s="123">
        <f>Master!Z7</f>
        <v>1194.1439999999998</v>
      </c>
      <c r="D8" s="123">
        <f>Master!AA7</f>
        <v>400</v>
      </c>
      <c r="E8" s="123">
        <f>Master!AB7</f>
        <v>1594.1439999999998</v>
      </c>
      <c r="F8" s="141">
        <f>Master!H7</f>
        <v>35.541899999999998</v>
      </c>
      <c r="G8" s="133">
        <f t="shared" si="0"/>
        <v>1194.1439999999998</v>
      </c>
      <c r="H8" s="147">
        <f>(Master!K7)*14</f>
        <v>517.4624</v>
      </c>
      <c r="I8" s="135">
        <f t="shared" si="1"/>
        <v>517.4624</v>
      </c>
      <c r="J8" s="149">
        <f>(Master!$K$7)*J3</f>
        <v>1108.848</v>
      </c>
      <c r="K8" s="149">
        <f>(Master!$K$7)*K3</f>
        <v>1145.8095999999998</v>
      </c>
      <c r="L8" s="149">
        <f>(Master!$K$7)*L3</f>
        <v>1145.8095999999998</v>
      </c>
      <c r="M8" s="149">
        <f>(Master!$K$7)*M3</f>
        <v>1034.9248</v>
      </c>
      <c r="N8" s="149">
        <f>(Master!$K$7)*N3</f>
        <v>1145.8095999999998</v>
      </c>
      <c r="O8" s="149">
        <f>(Master!$K$7)*O3</f>
        <v>1108.848</v>
      </c>
      <c r="P8" s="149">
        <f>(Master!$K$7)*P3</f>
        <v>1145.8095999999998</v>
      </c>
      <c r="Q8" s="149">
        <f>(Master!$K$7)*Q3</f>
        <v>1108.848</v>
      </c>
      <c r="R8" s="149">
        <f>(Master!$K$7)*R3</f>
        <v>1145.8095999999998</v>
      </c>
      <c r="S8" s="149">
        <f>(Master!$K$7)*S3</f>
        <v>1145.8095999999998</v>
      </c>
      <c r="T8" s="262"/>
    </row>
    <row r="9" spans="1:20" ht="30" x14ac:dyDescent="0.25">
      <c r="A9" s="284"/>
      <c r="B9" s="241" t="s">
        <v>158</v>
      </c>
      <c r="C9" s="142">
        <f>Master!Z11</f>
        <v>2144.3519999999999</v>
      </c>
      <c r="D9" s="142">
        <f>Master!AA11</f>
        <v>750</v>
      </c>
      <c r="E9" s="142">
        <f>Master!AB11</f>
        <v>2894.3519999999999</v>
      </c>
      <c r="F9" s="143">
        <f>Master!H11</f>
        <v>63.822100000000006</v>
      </c>
      <c r="G9" s="144">
        <f t="shared" si="0"/>
        <v>2144.3519999999999</v>
      </c>
      <c r="H9" s="133">
        <f>(Master!K11)*14</f>
        <v>929.2192</v>
      </c>
      <c r="I9" s="135">
        <f t="shared" si="1"/>
        <v>929.2192</v>
      </c>
      <c r="J9" s="134">
        <f>(Master!$K$11)*J3</f>
        <v>1991.184</v>
      </c>
      <c r="K9" s="134">
        <f>(Master!$K$11)*K3</f>
        <v>2057.5567999999998</v>
      </c>
      <c r="L9" s="134">
        <f>(Master!$K$11)*L3</f>
        <v>2057.5567999999998</v>
      </c>
      <c r="M9" s="134">
        <f>(Master!$K$11)*M3</f>
        <v>1858.4384</v>
      </c>
      <c r="N9" s="134">
        <f>(Master!$K$11)*N3</f>
        <v>2057.5567999999998</v>
      </c>
      <c r="O9" s="134">
        <f>(Master!$K$11)*O3</f>
        <v>1991.184</v>
      </c>
      <c r="P9" s="134">
        <f>(Master!$K$11)*P3</f>
        <v>2057.5567999999998</v>
      </c>
      <c r="Q9" s="134">
        <f>(Master!$K$11)*Q3</f>
        <v>1991.184</v>
      </c>
      <c r="R9" s="134">
        <f>(Master!$K$11)*R3</f>
        <v>2057.5567999999998</v>
      </c>
      <c r="S9" s="134">
        <f>(Master!$K$11)*S3</f>
        <v>2057.5567999999998</v>
      </c>
      <c r="T9" s="262"/>
    </row>
    <row r="10" spans="1:20" ht="21" x14ac:dyDescent="0.25">
      <c r="A10" s="285"/>
      <c r="B10" s="193"/>
      <c r="C10" s="140"/>
      <c r="D10" s="140"/>
      <c r="E10" s="140"/>
      <c r="F10" s="140"/>
      <c r="G10" s="150"/>
      <c r="H10" s="136"/>
      <c r="I10" s="137"/>
      <c r="J10" s="137"/>
      <c r="K10" s="137"/>
      <c r="L10" s="137"/>
      <c r="M10" s="137"/>
      <c r="N10" s="137"/>
      <c r="O10" s="137"/>
      <c r="P10" s="137"/>
      <c r="Q10" s="137"/>
      <c r="R10" s="137"/>
      <c r="S10" s="137"/>
      <c r="T10" s="262"/>
    </row>
    <row r="11" spans="1:20" ht="15.75" x14ac:dyDescent="0.25">
      <c r="A11" s="286" t="s">
        <v>57</v>
      </c>
      <c r="B11" s="194" t="s">
        <v>73</v>
      </c>
      <c r="C11" s="145">
        <f>Master!Z8</f>
        <v>1845.6479999999999</v>
      </c>
      <c r="D11" s="145">
        <f>Master!AA8</f>
        <v>400</v>
      </c>
      <c r="E11" s="145">
        <f>Master!AB8</f>
        <v>2245.6480000000001</v>
      </c>
      <c r="F11" s="146">
        <f>Master!H8</f>
        <v>54.927449999999993</v>
      </c>
      <c r="G11" s="147">
        <f t="shared" si="0"/>
        <v>1845.6479999999999</v>
      </c>
      <c r="H11" s="133">
        <f>(Master!L8)*14</f>
        <v>799.82</v>
      </c>
      <c r="I11" s="135">
        <f t="shared" si="1"/>
        <v>799.82</v>
      </c>
      <c r="J11" s="134">
        <f>(Master!$K$8)*J3</f>
        <v>1713.816</v>
      </c>
      <c r="K11" s="134">
        <f>(Master!$K$8)*K3</f>
        <v>1770.9432000000002</v>
      </c>
      <c r="L11" s="134">
        <f>(Master!$K$8)*L3</f>
        <v>1770.9432000000002</v>
      </c>
      <c r="M11" s="134">
        <f>(Master!$K$8)*M3</f>
        <v>1599.5616</v>
      </c>
      <c r="N11" s="134">
        <f>(Master!$K$8)*N3</f>
        <v>1770.9432000000002</v>
      </c>
      <c r="O11" s="134">
        <f>(Master!$K$8)*O3</f>
        <v>1713.816</v>
      </c>
      <c r="P11" s="134">
        <f>(Master!$K$8)*P3</f>
        <v>1770.9432000000002</v>
      </c>
      <c r="Q11" s="134">
        <f>(Master!$K$8)*Q3</f>
        <v>1713.816</v>
      </c>
      <c r="R11" s="134">
        <f>(Master!$K$8)*R3</f>
        <v>1770.9432000000002</v>
      </c>
      <c r="S11" s="134">
        <f>(Master!$K$8)*S3</f>
        <v>1770.9432000000002</v>
      </c>
      <c r="T11" s="262"/>
    </row>
    <row r="12" spans="1:20" ht="30" x14ac:dyDescent="0.25">
      <c r="A12" s="283"/>
      <c r="B12" s="279" t="s">
        <v>159</v>
      </c>
      <c r="C12" s="123">
        <f>Master!Z10</f>
        <v>2249.1839999999997</v>
      </c>
      <c r="D12" s="123">
        <f>Master!AA10</f>
        <v>750</v>
      </c>
      <c r="E12" s="123">
        <f>Master!AB10</f>
        <v>2999.1839999999997</v>
      </c>
      <c r="F12" s="141">
        <f>Master!H10</f>
        <v>66.94019999999999</v>
      </c>
      <c r="G12" s="133">
        <f t="shared" si="0"/>
        <v>2249.1839999999997</v>
      </c>
      <c r="H12" s="133">
        <f>(Master!K10)*14</f>
        <v>974.64639999999997</v>
      </c>
      <c r="I12" s="135">
        <f t="shared" si="1"/>
        <v>974.64639999999997</v>
      </c>
      <c r="J12" s="134">
        <f>(Master!$K$10)*J3</f>
        <v>2088.5279999999998</v>
      </c>
      <c r="K12" s="134">
        <f>(Master!$K$10)*K3</f>
        <v>2158.1455999999998</v>
      </c>
      <c r="L12" s="134">
        <f>(Master!$K$10)*L3</f>
        <v>2158.1455999999998</v>
      </c>
      <c r="M12" s="134">
        <f>(Master!$K$10)*M3</f>
        <v>1949.2927999999999</v>
      </c>
      <c r="N12" s="134">
        <f>(Master!$K$10)*N3</f>
        <v>2158.1455999999998</v>
      </c>
      <c r="O12" s="134">
        <f>(Master!$K$10)*O3</f>
        <v>2088.5279999999998</v>
      </c>
      <c r="P12" s="134">
        <f>(Master!$K$10)*P3</f>
        <v>2158.1455999999998</v>
      </c>
      <c r="Q12" s="134">
        <f>(Master!$K$10)*Q3</f>
        <v>2088.5279999999998</v>
      </c>
      <c r="R12" s="134">
        <f>(Master!$K$10)*R3</f>
        <v>2158.1455999999998</v>
      </c>
      <c r="S12" s="134">
        <f>(Master!$K$10)*S3</f>
        <v>2158.1455999999998</v>
      </c>
      <c r="T12" s="262"/>
    </row>
    <row r="13" spans="1:20" ht="15.75" x14ac:dyDescent="0.25">
      <c r="A13" s="284"/>
      <c r="B13" s="241" t="s">
        <v>162</v>
      </c>
      <c r="C13" s="142">
        <f>Master!Z12</f>
        <v>2569.7280000000001</v>
      </c>
      <c r="D13" s="142">
        <f>Master!AA12</f>
        <v>750</v>
      </c>
      <c r="E13" s="142">
        <f>Master!AB12</f>
        <v>3319.7280000000001</v>
      </c>
      <c r="F13" s="143">
        <f>Master!H12</f>
        <v>76.48</v>
      </c>
      <c r="G13" s="144">
        <f t="shared" ref="G13:G14" si="2">C13</f>
        <v>2569.7280000000001</v>
      </c>
      <c r="H13" s="133">
        <f>(Master!K12)*14</f>
        <v>1113.5488</v>
      </c>
      <c r="I13" s="135">
        <f t="shared" ref="I13:I14" si="3">H13</f>
        <v>1113.5488</v>
      </c>
      <c r="J13" s="242">
        <f>(Master!$K$12)*J3</f>
        <v>2386.1760000000004</v>
      </c>
      <c r="K13" s="242">
        <f>(Master!$K$12)*K3</f>
        <v>2465.7152000000001</v>
      </c>
      <c r="L13" s="242">
        <f>(Master!$K$12)*L3</f>
        <v>2465.7152000000001</v>
      </c>
      <c r="M13" s="242">
        <f>(Master!$K$12)*M3</f>
        <v>2227.0976000000001</v>
      </c>
      <c r="N13" s="242">
        <f>(Master!$K$12)*N3</f>
        <v>2465.7152000000001</v>
      </c>
      <c r="O13" s="242">
        <f>(Master!$K$12)*O3</f>
        <v>2386.1760000000004</v>
      </c>
      <c r="P13" s="242">
        <f>(Master!$K$12)*P3</f>
        <v>2465.7152000000001</v>
      </c>
      <c r="Q13" s="242">
        <f>(Master!$K$12)*Q3</f>
        <v>2386.1760000000004</v>
      </c>
      <c r="R13" s="242">
        <f>(Master!$K$12)*R3</f>
        <v>2465.7152000000001</v>
      </c>
      <c r="S13" s="242">
        <f>(Master!$K$12)*S3</f>
        <v>2465.7152000000001</v>
      </c>
      <c r="T13" s="262"/>
    </row>
    <row r="14" spans="1:20" ht="30" x14ac:dyDescent="0.25">
      <c r="A14" s="284"/>
      <c r="B14" s="241" t="s">
        <v>160</v>
      </c>
      <c r="C14" s="142">
        <f>Master!Z13</f>
        <v>2948.7359999999999</v>
      </c>
      <c r="D14" s="142">
        <f>Master!AA13</f>
        <v>750</v>
      </c>
      <c r="E14" s="142">
        <f>Master!AB13</f>
        <v>3698.7359999999999</v>
      </c>
      <c r="F14" s="143">
        <f>Master!H13</f>
        <v>87.757000000000005</v>
      </c>
      <c r="G14" s="144">
        <f t="shared" si="2"/>
        <v>2948.7359999999999</v>
      </c>
      <c r="H14" s="133">
        <f>(Master!K13)*14</f>
        <v>1277.7856000000002</v>
      </c>
      <c r="I14" s="135">
        <f t="shared" si="3"/>
        <v>1277.7856000000002</v>
      </c>
      <c r="J14" s="242">
        <f>(Master!$K$13)*J3</f>
        <v>2738.1120000000001</v>
      </c>
      <c r="K14" s="242">
        <f>(Master!$K$13)*K3</f>
        <v>2829.3824000000004</v>
      </c>
      <c r="L14" s="242">
        <f>(Master!$K$13)*L3</f>
        <v>2829.3824000000004</v>
      </c>
      <c r="M14" s="242">
        <f>(Master!$K$13)*M3</f>
        <v>2555.5712000000003</v>
      </c>
      <c r="N14" s="242">
        <f>(Master!$K$13)*N3</f>
        <v>2829.3824000000004</v>
      </c>
      <c r="O14" s="242">
        <f>(Master!$K$13)*O3</f>
        <v>2738.1120000000001</v>
      </c>
      <c r="P14" s="242">
        <f>(Master!$K$13)*P3</f>
        <v>2829.3824000000004</v>
      </c>
      <c r="Q14" s="242">
        <f>(Master!$K$13)*Q3</f>
        <v>2738.1120000000001</v>
      </c>
      <c r="R14" s="242">
        <f>(Master!$K$13)*R3</f>
        <v>2829.3824000000004</v>
      </c>
      <c r="S14" s="242">
        <f>(Master!$K$13)*S3</f>
        <v>2829.3824000000004</v>
      </c>
      <c r="T14" s="262"/>
    </row>
    <row r="15" spans="1:20" ht="30" x14ac:dyDescent="0.25">
      <c r="A15" s="284"/>
      <c r="B15" s="241" t="s">
        <v>161</v>
      </c>
      <c r="C15" s="142">
        <f>Master!Z14</f>
        <v>2759.232</v>
      </c>
      <c r="D15" s="142">
        <f>Master!AA14</f>
        <v>750</v>
      </c>
      <c r="E15" s="142">
        <f>Master!AB14</f>
        <v>3509.232</v>
      </c>
      <c r="F15" s="143">
        <f>Master!H14</f>
        <v>82.118499999999997</v>
      </c>
      <c r="G15" s="144">
        <f t="shared" si="0"/>
        <v>2759.232</v>
      </c>
      <c r="H15" s="133">
        <f>(Master!K14)*14</f>
        <v>1195.6672000000001</v>
      </c>
      <c r="I15" s="135">
        <f t="shared" si="1"/>
        <v>1195.6672000000001</v>
      </c>
      <c r="J15" s="242">
        <f>(Master!$K$14)*J3</f>
        <v>2562.1440000000002</v>
      </c>
      <c r="K15" s="242">
        <f>(Master!$K$14)*K3</f>
        <v>2647.5488000000005</v>
      </c>
      <c r="L15" s="242">
        <f>(Master!$K$14)*L3</f>
        <v>2647.5488000000005</v>
      </c>
      <c r="M15" s="242">
        <f>(Master!$K$14)*M3</f>
        <v>2391.3344000000002</v>
      </c>
      <c r="N15" s="242">
        <f>(Master!$K$14)*N3</f>
        <v>2647.5488000000005</v>
      </c>
      <c r="O15" s="242">
        <f>(Master!$K$14)*O3</f>
        <v>2562.1440000000002</v>
      </c>
      <c r="P15" s="242">
        <f>(Master!$K$14)*P3</f>
        <v>2647.5488000000005</v>
      </c>
      <c r="Q15" s="242">
        <f>(Master!$K$14)*Q3</f>
        <v>2562.1440000000002</v>
      </c>
      <c r="R15" s="242">
        <f>(Master!$K$14)*R3</f>
        <v>2647.5488000000005</v>
      </c>
      <c r="S15" s="242">
        <f>(Master!$K$14)*S3</f>
        <v>2647.5488000000005</v>
      </c>
      <c r="T15" s="262"/>
    </row>
    <row r="16" spans="1:20" ht="21" x14ac:dyDescent="0.25">
      <c r="A16" s="285"/>
      <c r="B16" s="193"/>
      <c r="C16" s="140"/>
      <c r="D16" s="140"/>
      <c r="E16" s="140"/>
      <c r="F16" s="140"/>
      <c r="G16" s="150"/>
      <c r="H16" s="136"/>
      <c r="I16" s="137"/>
      <c r="J16" s="137"/>
      <c r="K16" s="137"/>
      <c r="L16" s="137"/>
      <c r="M16" s="137"/>
      <c r="N16" s="137"/>
      <c r="O16" s="137"/>
      <c r="P16" s="137"/>
      <c r="Q16" s="137"/>
      <c r="R16" s="137"/>
      <c r="S16" s="137"/>
      <c r="T16" s="262"/>
    </row>
    <row r="17" spans="1:20" ht="30" x14ac:dyDescent="0.25">
      <c r="A17" s="286" t="s">
        <v>60</v>
      </c>
      <c r="B17" s="280" t="s">
        <v>163</v>
      </c>
      <c r="C17" s="145">
        <f>Master!Z15</f>
        <v>2879.1839999999997</v>
      </c>
      <c r="D17" s="145">
        <f>Master!AA15</f>
        <v>750</v>
      </c>
      <c r="E17" s="145">
        <f>Master!AB15</f>
        <v>3629.1839999999997</v>
      </c>
      <c r="F17" s="146">
        <f>Master!H15</f>
        <v>85.690250000000006</v>
      </c>
      <c r="G17" s="147">
        <f t="shared" si="0"/>
        <v>2879.1839999999997</v>
      </c>
      <c r="H17" s="133">
        <f>(Master!K15)*14</f>
        <v>1247.6463999999999</v>
      </c>
      <c r="I17" s="135">
        <f t="shared" si="1"/>
        <v>1247.6463999999999</v>
      </c>
      <c r="J17" s="134">
        <f>(Master!$K$15)*J3</f>
        <v>2673.5279999999998</v>
      </c>
      <c r="K17" s="134">
        <f>(Master!$K$15)*K3</f>
        <v>2762.6455999999998</v>
      </c>
      <c r="L17" s="134">
        <f>(Master!$K$15)*L3</f>
        <v>2762.6455999999998</v>
      </c>
      <c r="M17" s="134">
        <f>(Master!$K$15)*M3</f>
        <v>2495.2927999999997</v>
      </c>
      <c r="N17" s="134">
        <f>(Master!$K$15)*N3</f>
        <v>2762.6455999999998</v>
      </c>
      <c r="O17" s="134">
        <f>(Master!$K$15)*O3</f>
        <v>2673.5279999999998</v>
      </c>
      <c r="P17" s="134">
        <f>(Master!$K$15)*P3</f>
        <v>2762.6455999999998</v>
      </c>
      <c r="Q17" s="134">
        <f>(Master!$K$15)*Q3</f>
        <v>2673.5279999999998</v>
      </c>
      <c r="R17" s="134">
        <f>(Master!$K$15)*R3</f>
        <v>2762.6455999999998</v>
      </c>
      <c r="S17" s="134">
        <f>(Master!$K$15)*S3</f>
        <v>2762.6455999999998</v>
      </c>
      <c r="T17" s="262"/>
    </row>
    <row r="18" spans="1:20" ht="30" x14ac:dyDescent="0.25">
      <c r="A18" s="283"/>
      <c r="B18" s="279" t="s">
        <v>164</v>
      </c>
      <c r="C18" s="145">
        <f>Master!Z16</f>
        <v>3028.7039999999997</v>
      </c>
      <c r="D18" s="145">
        <f>Master!AA16</f>
        <v>750</v>
      </c>
      <c r="E18" s="145">
        <f>Master!AB16</f>
        <v>3778.7039999999997</v>
      </c>
      <c r="F18" s="146">
        <f>Master!H16</f>
        <v>90.138149999999996</v>
      </c>
      <c r="G18" s="133">
        <f t="shared" si="0"/>
        <v>3028.7039999999997</v>
      </c>
      <c r="H18" s="133">
        <f>(Master!K16)*14</f>
        <v>1312.4384000000002</v>
      </c>
      <c r="I18" s="135">
        <f t="shared" si="1"/>
        <v>1312.4384000000002</v>
      </c>
      <c r="J18" s="134">
        <f>(Master!$K$16)*J3</f>
        <v>2812.3680000000004</v>
      </c>
      <c r="K18" s="134">
        <f>(Master!$K$16)*K3</f>
        <v>2906.1136000000001</v>
      </c>
      <c r="L18" s="134">
        <f>(Master!$K$16)*L3</f>
        <v>2906.1136000000001</v>
      </c>
      <c r="M18" s="134">
        <f>(Master!$K$16)*M3</f>
        <v>2624.8768000000005</v>
      </c>
      <c r="N18" s="134">
        <f>(Master!$K$16)*N3</f>
        <v>2906.1136000000001</v>
      </c>
      <c r="O18" s="134">
        <f>(Master!$K$16)*O3</f>
        <v>2812.3680000000004</v>
      </c>
      <c r="P18" s="134">
        <f>(Master!$K$16)*P3</f>
        <v>2906.1136000000001</v>
      </c>
      <c r="Q18" s="134">
        <f>(Master!$K$16)*Q3</f>
        <v>2812.3680000000004</v>
      </c>
      <c r="R18" s="134">
        <f>(Master!$K$16)*R3</f>
        <v>2906.1136000000001</v>
      </c>
      <c r="S18" s="134">
        <f>(Master!$K$16)*S3</f>
        <v>2906.1136000000001</v>
      </c>
      <c r="T18" s="262"/>
    </row>
    <row r="19" spans="1:20" ht="30.75" thickBot="1" x14ac:dyDescent="0.3">
      <c r="A19" s="287"/>
      <c r="B19" s="281" t="s">
        <v>165</v>
      </c>
      <c r="C19" s="145">
        <f>Master!Z17</f>
        <v>3378.1439999999998</v>
      </c>
      <c r="D19" s="145">
        <f>Master!AA17</f>
        <v>750</v>
      </c>
      <c r="E19" s="145">
        <f>Master!AB17</f>
        <v>4128.1440000000002</v>
      </c>
      <c r="F19" s="146">
        <f>Master!H17</f>
        <v>100.53992000000001</v>
      </c>
      <c r="G19" s="138">
        <f t="shared" si="0"/>
        <v>3378.1439999999998</v>
      </c>
      <c r="H19" s="133">
        <f>(Master!K17)*14</f>
        <v>1463.8624000000002</v>
      </c>
      <c r="I19" s="139">
        <f t="shared" si="1"/>
        <v>1463.8624000000002</v>
      </c>
      <c r="J19" s="134">
        <f>(Master!$K$17)*J3</f>
        <v>3136.8480000000004</v>
      </c>
      <c r="K19" s="134">
        <f>(Master!$K$17)*K3</f>
        <v>3241.4096000000004</v>
      </c>
      <c r="L19" s="134">
        <f>(Master!$K$17)*L3</f>
        <v>3241.4096000000004</v>
      </c>
      <c r="M19" s="134">
        <f>(Master!$K$17)*M3</f>
        <v>2927.7248000000004</v>
      </c>
      <c r="N19" s="134">
        <f>(Master!$K$17)*N3</f>
        <v>3241.4096000000004</v>
      </c>
      <c r="O19" s="134">
        <f>(Master!$K$17)*O3</f>
        <v>3136.8480000000004</v>
      </c>
      <c r="P19" s="134">
        <f>(Master!$K$17)*P3</f>
        <v>3241.4096000000004</v>
      </c>
      <c r="Q19" s="134">
        <f>(Master!$K$17)*Q3</f>
        <v>3136.8480000000004</v>
      </c>
      <c r="R19" s="134">
        <f>(Master!$K$17)*R3</f>
        <v>3241.4096000000004</v>
      </c>
      <c r="S19" s="134">
        <f>(Master!$K$17)*S3</f>
        <v>3241.4096000000004</v>
      </c>
      <c r="T19" s="263"/>
    </row>
    <row r="21" spans="1:20" x14ac:dyDescent="0.25">
      <c r="B21" t="s">
        <v>115</v>
      </c>
    </row>
    <row r="22" spans="1:20" x14ac:dyDescent="0.25">
      <c r="B22" s="199" t="s">
        <v>119</v>
      </c>
    </row>
    <row r="23" spans="1:20" x14ac:dyDescent="0.25">
      <c r="B23" t="s">
        <v>65</v>
      </c>
    </row>
    <row r="24" spans="1:20" ht="45.6" customHeight="1" x14ac:dyDescent="0.25">
      <c r="B24" s="264" t="s">
        <v>148</v>
      </c>
      <c r="C24" s="265"/>
      <c r="D24" s="265"/>
      <c r="E24" s="265"/>
      <c r="F24" s="265"/>
      <c r="G24" s="265"/>
      <c r="H24" s="265"/>
      <c r="I24" s="265"/>
      <c r="J24" s="265"/>
      <c r="K24" s="265"/>
      <c r="L24" s="128"/>
      <c r="M24" s="128"/>
      <c r="N24" s="128"/>
      <c r="O24" s="128"/>
    </row>
    <row r="25" spans="1:20" x14ac:dyDescent="0.25">
      <c r="B25" t="s">
        <v>149</v>
      </c>
    </row>
    <row r="28" spans="1:20" s="187" customFormat="1" x14ac:dyDescent="0.25">
      <c r="B28" s="253" t="s">
        <v>91</v>
      </c>
      <c r="C28" s="254"/>
      <c r="D28" s="254"/>
      <c r="E28" s="254"/>
      <c r="F28" s="255"/>
      <c r="H28" s="253" t="s">
        <v>92</v>
      </c>
      <c r="I28" s="254"/>
      <c r="J28" s="254"/>
      <c r="K28" s="254"/>
      <c r="L28" s="255"/>
      <c r="O28" s="253" t="s">
        <v>93</v>
      </c>
      <c r="P28" s="254"/>
      <c r="Q28" s="254"/>
      <c r="R28" s="254"/>
      <c r="S28" s="254"/>
      <c r="T28" s="255"/>
    </row>
    <row r="42" spans="2:20" s="188" customFormat="1" ht="15.75" x14ac:dyDescent="0.25">
      <c r="B42" s="259" t="s">
        <v>96</v>
      </c>
      <c r="C42" s="257"/>
      <c r="D42" s="257"/>
      <c r="E42" s="257"/>
      <c r="F42" s="257"/>
      <c r="G42" s="257"/>
      <c r="H42" s="257"/>
      <c r="I42" s="257"/>
      <c r="J42" s="256" t="s">
        <v>94</v>
      </c>
      <c r="K42" s="260"/>
      <c r="L42" s="261"/>
      <c r="M42" s="189"/>
      <c r="O42" s="256" t="s">
        <v>95</v>
      </c>
      <c r="P42" s="257"/>
      <c r="Q42" s="257"/>
      <c r="R42" s="257"/>
      <c r="S42" s="257"/>
      <c r="T42" s="258"/>
    </row>
  </sheetData>
  <mergeCells count="12">
    <mergeCell ref="A17:A19"/>
    <mergeCell ref="T4:T19"/>
    <mergeCell ref="B24:K24"/>
    <mergeCell ref="J1:S1"/>
    <mergeCell ref="A4:A9"/>
    <mergeCell ref="A11:A15"/>
    <mergeCell ref="B28:F28"/>
    <mergeCell ref="H28:L28"/>
    <mergeCell ref="O28:T28"/>
    <mergeCell ref="O42:T42"/>
    <mergeCell ref="B42:I42"/>
    <mergeCell ref="J42:L42"/>
  </mergeCells>
  <hyperlinks>
    <hyperlink ref="B6:B8" r:id="rId1" display="Single A" xr:uid="{7CAF7F2F-70B0-4880-A091-C72B9908E693}"/>
    <hyperlink ref="B4:B5" r:id="rId2" display="Single en suite A &amp; Accessible ensuite" xr:uid="{4B908C04-9F41-44A4-B6D4-BA262B995CCA}"/>
    <hyperlink ref="B9" r:id="rId3" xr:uid="{B68B30B7-DCD4-493B-BF90-3CE2A1F7B653}"/>
    <hyperlink ref="B11" r:id="rId4" xr:uid="{6B4108D1-F03A-4598-8723-21A381EFF266}"/>
    <hyperlink ref="B12" r:id="rId5" xr:uid="{A8BD0150-E403-4513-9949-17ABFAAD7020}"/>
    <hyperlink ref="B17:B18" r:id="rId6" display="2 bedroom family flat A (couple plus one child)" xr:uid="{F5790498-E2CF-4D68-A1FB-AE99B7F33E1F}"/>
    <hyperlink ref="B19" r:id="rId7" xr:uid="{6D9DBDE8-242F-4F94-80D4-60CF232B554D}"/>
    <hyperlink ref="A4:A9" r:id="rId8" display="For singles" xr:uid="{D7C9DF9E-5402-4031-95FD-A61156859244}"/>
    <hyperlink ref="A11:A15" r:id="rId9" display="For couples" xr:uid="{40C03AEB-5562-42B6-9C11-35B10156B415}"/>
    <hyperlink ref="A17:A19" r:id="rId10" display="For families" xr:uid="{DC370F73-BF33-41EB-A8A5-214766F69F90}"/>
    <hyperlink ref="B13" r:id="rId11" xr:uid="{7484D01A-223E-43E1-A402-9A264EF1F2A4}"/>
    <hyperlink ref="A13" r:id="rId12" display="For couples" xr:uid="{D3AFE992-4414-4590-8898-B97D40130C5B}"/>
    <hyperlink ref="B14" r:id="rId13" xr:uid="{F5F23DD8-C45B-4B1D-A815-B81845EBA001}"/>
    <hyperlink ref="A14" r:id="rId14" display="For couples" xr:uid="{A340452F-1C40-4380-86FC-D9C7FB24BEA5}"/>
    <hyperlink ref="B15" r:id="rId15" xr:uid="{3214900F-29A2-4E31-A951-51C96E0F8BEE}"/>
    <hyperlink ref="B17" r:id="rId16" xr:uid="{E259CB92-D8BB-495C-BF62-0750F5D975EC}"/>
    <hyperlink ref="B18" r:id="rId17" xr:uid="{2D29FC93-2483-4F2C-8D97-FCD080261D65}"/>
  </hyperlinks>
  <pageMargins left="0.7" right="0.7" top="0.75" bottom="0.75" header="0.3" footer="0.3"/>
  <pageSetup paperSize="9" scale="51" orientation="landscape"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EDA3-9913-4062-8BAC-1846E880D107}">
  <sheetPr>
    <tabColor rgb="FFFF0000"/>
  </sheetPr>
  <dimension ref="A1:E21"/>
  <sheetViews>
    <sheetView workbookViewId="0">
      <selection activeCell="E2" sqref="E2"/>
    </sheetView>
  </sheetViews>
  <sheetFormatPr defaultRowHeight="15" x14ac:dyDescent="0.25"/>
  <cols>
    <col min="2" max="2" width="45.42578125" customWidth="1"/>
    <col min="3" max="3" width="11.7109375" customWidth="1"/>
    <col min="4" max="4" width="12.42578125" customWidth="1"/>
    <col min="5" max="5" width="12.28515625" customWidth="1"/>
  </cols>
  <sheetData>
    <row r="1" spans="1:5" s="112" customFormat="1" ht="52.5" customHeight="1" x14ac:dyDescent="0.25">
      <c r="A1" s="171"/>
      <c r="B1" s="129"/>
      <c r="C1" s="129" t="s">
        <v>49</v>
      </c>
      <c r="D1" s="172" t="s">
        <v>83</v>
      </c>
      <c r="E1" s="172" t="s">
        <v>84</v>
      </c>
    </row>
    <row r="2" spans="1:5" x14ac:dyDescent="0.25">
      <c r="A2" s="268" t="s">
        <v>44</v>
      </c>
      <c r="B2" s="166" t="s">
        <v>67</v>
      </c>
      <c r="C2" s="123">
        <f>Master!AB3</f>
        <v>2147.1999999999998</v>
      </c>
      <c r="D2" s="123">
        <f>Master!P3</f>
        <v>378.56</v>
      </c>
      <c r="E2" s="167">
        <f>Master!Q3</f>
        <v>1676.48</v>
      </c>
    </row>
    <row r="3" spans="1:5" x14ac:dyDescent="0.25">
      <c r="A3" s="268"/>
      <c r="B3" s="166" t="s">
        <v>68</v>
      </c>
      <c r="C3" s="123">
        <f>Master!AB4</f>
        <v>2027.248</v>
      </c>
      <c r="D3" s="123">
        <f>Master!P4</f>
        <v>352.57040000000001</v>
      </c>
      <c r="E3" s="167">
        <f>Master!Q4</f>
        <v>1561.3832000000002</v>
      </c>
    </row>
    <row r="4" spans="1:5" x14ac:dyDescent="0.25">
      <c r="A4" s="268"/>
      <c r="B4" s="166" t="s">
        <v>69</v>
      </c>
      <c r="C4" s="123">
        <f>Master!AB5</f>
        <v>1866.6399999999999</v>
      </c>
      <c r="D4" s="123">
        <f>Master!P5</f>
        <v>317.77199999999999</v>
      </c>
      <c r="E4" s="167">
        <f>Master!Q5</f>
        <v>1407.2760000000001</v>
      </c>
    </row>
    <row r="5" spans="1:5" x14ac:dyDescent="0.25">
      <c r="A5" s="268"/>
      <c r="B5" s="166" t="s">
        <v>70</v>
      </c>
      <c r="C5" s="123">
        <f>Master!AB6</f>
        <v>1737.616</v>
      </c>
      <c r="D5" s="123">
        <f>Master!P6</f>
        <v>289.81680000000006</v>
      </c>
      <c r="E5" s="167">
        <f>Master!Q6</f>
        <v>1283.4744000000003</v>
      </c>
    </row>
    <row r="6" spans="1:5" x14ac:dyDescent="0.25">
      <c r="A6" s="268"/>
      <c r="B6" s="166" t="s">
        <v>71</v>
      </c>
      <c r="C6" s="123">
        <f>Master!AB7</f>
        <v>1594.1439999999998</v>
      </c>
      <c r="D6" s="123">
        <f>Master!P7</f>
        <v>258.7312</v>
      </c>
      <c r="E6" s="167">
        <f>Master!Q7</f>
        <v>1145.8095999999998</v>
      </c>
    </row>
    <row r="7" spans="1:5" x14ac:dyDescent="0.25">
      <c r="A7" s="268"/>
      <c r="B7" s="166" t="s">
        <v>72</v>
      </c>
      <c r="C7" s="123" t="e">
        <f>Master!#REF!</f>
        <v>#REF!</v>
      </c>
      <c r="D7" s="123" t="e">
        <f>Master!#REF!</f>
        <v>#REF!</v>
      </c>
      <c r="E7" s="167" t="e">
        <f>Master!#REF!</f>
        <v>#REF!</v>
      </c>
    </row>
    <row r="8" spans="1:5" x14ac:dyDescent="0.25">
      <c r="A8" s="268"/>
      <c r="B8" s="166" t="s">
        <v>79</v>
      </c>
      <c r="C8" s="123">
        <f>Master!AB11</f>
        <v>2894.3519999999999</v>
      </c>
      <c r="D8" s="167">
        <f>Master!P11</f>
        <v>464.6096</v>
      </c>
      <c r="E8" s="167">
        <f>Master!Q11</f>
        <v>2057.5567999999998</v>
      </c>
    </row>
    <row r="9" spans="1:5" x14ac:dyDescent="0.25">
      <c r="A9" s="168"/>
      <c r="B9" s="169"/>
      <c r="C9" s="123"/>
      <c r="D9" s="167"/>
      <c r="E9" s="167"/>
    </row>
    <row r="10" spans="1:5" x14ac:dyDescent="0.25">
      <c r="A10" s="269" t="s">
        <v>85</v>
      </c>
      <c r="B10" s="170" t="s">
        <v>73</v>
      </c>
      <c r="C10" s="123">
        <f>Master!AB8</f>
        <v>2245.6480000000001</v>
      </c>
      <c r="D10" s="123">
        <f>Master!P8</f>
        <v>399.8904</v>
      </c>
      <c r="E10" s="167">
        <f>Master!Q8</f>
        <v>1770.9432000000002</v>
      </c>
    </row>
    <row r="11" spans="1:5" x14ac:dyDescent="0.25">
      <c r="A11" s="268"/>
      <c r="B11" s="166" t="s">
        <v>80</v>
      </c>
      <c r="C11" s="123">
        <f>Master!AB10</f>
        <v>2999.1839999999997</v>
      </c>
      <c r="D11" s="167">
        <f>Master!P10</f>
        <v>487.32319999999999</v>
      </c>
      <c r="E11" s="167">
        <f>Master!Q10</f>
        <v>2158.1455999999998</v>
      </c>
    </row>
    <row r="12" spans="1:5" x14ac:dyDescent="0.25">
      <c r="A12" s="268"/>
      <c r="B12" s="166" t="s">
        <v>74</v>
      </c>
      <c r="C12" s="123">
        <f>Master!AB12</f>
        <v>3319.7280000000001</v>
      </c>
      <c r="D12" s="167">
        <f>Master!P12</f>
        <v>556.77440000000001</v>
      </c>
      <c r="E12" s="167">
        <f>Master!Q12</f>
        <v>2465.7152000000001</v>
      </c>
    </row>
    <row r="13" spans="1:5" x14ac:dyDescent="0.25">
      <c r="A13" s="168"/>
      <c r="B13" s="169"/>
      <c r="C13" s="123"/>
      <c r="D13" s="167"/>
      <c r="E13" s="167"/>
    </row>
    <row r="14" spans="1:5" x14ac:dyDescent="0.25">
      <c r="A14" s="268" t="s">
        <v>60</v>
      </c>
      <c r="B14" s="166" t="s">
        <v>76</v>
      </c>
      <c r="C14" s="123">
        <f>Master!AB15</f>
        <v>3629.1839999999997</v>
      </c>
      <c r="D14" s="123">
        <f>Master!P15</f>
        <v>623.82319999999993</v>
      </c>
      <c r="E14" s="167">
        <f>Master!Q15</f>
        <v>2762.6455999999998</v>
      </c>
    </row>
    <row r="15" spans="1:5" ht="30" x14ac:dyDescent="0.25">
      <c r="A15" s="268"/>
      <c r="B15" s="166" t="s">
        <v>75</v>
      </c>
      <c r="C15" s="123">
        <f>Master!AB16</f>
        <v>3778.7039999999997</v>
      </c>
      <c r="D15" s="123">
        <f>Master!P16</f>
        <v>656.21920000000011</v>
      </c>
      <c r="E15" s="167">
        <f>Master!Q16</f>
        <v>2906.1136000000001</v>
      </c>
    </row>
    <row r="16" spans="1:5" ht="30" x14ac:dyDescent="0.25">
      <c r="A16" s="268"/>
      <c r="B16" s="166" t="s">
        <v>77</v>
      </c>
      <c r="C16" s="123">
        <f>Master!AB17</f>
        <v>4128.1440000000002</v>
      </c>
      <c r="D16" s="123">
        <f>Master!P17</f>
        <v>731.9312000000001</v>
      </c>
      <c r="E16" s="167">
        <f>Master!Q17</f>
        <v>3241.4096000000004</v>
      </c>
    </row>
    <row r="21" spans="2:3" ht="45.6" customHeight="1" x14ac:dyDescent="0.25">
      <c r="B21" s="264"/>
      <c r="C21" s="264"/>
    </row>
  </sheetData>
  <mergeCells count="4">
    <mergeCell ref="A2:A8"/>
    <mergeCell ref="A10:A12"/>
    <mergeCell ref="A14:A16"/>
    <mergeCell ref="B21:C21"/>
  </mergeCells>
  <hyperlinks>
    <hyperlink ref="B4:B6" r:id="rId1" display="Single A" xr:uid="{FD370496-5B22-40E8-B771-A1040FBE1FD4}"/>
    <hyperlink ref="B2:B3" r:id="rId2" display="Single en suite A &amp; Accessible ensuite" xr:uid="{171089C9-3946-45FC-80B8-577BA109D710}"/>
    <hyperlink ref="B7" r:id="rId3" xr:uid="{34AC2672-6117-444D-85DD-B053497702AC}"/>
    <hyperlink ref="B8" r:id="rId4" xr:uid="{BEF35F0B-496D-4B84-A9BF-99D92F70B362}"/>
    <hyperlink ref="B10" r:id="rId5" xr:uid="{E757EDD8-226A-4365-BD10-C1A005E2A3AF}"/>
    <hyperlink ref="B11" r:id="rId6" xr:uid="{9E15C095-55F4-4141-9122-60E05F6DC99D}"/>
    <hyperlink ref="B12" r:id="rId7" xr:uid="{363E9880-71D7-4C13-8634-1EF18C0D9FF8}"/>
    <hyperlink ref="B14:B15" r:id="rId8" display="2 bedroom family flat A (couple plus one child)" xr:uid="{0F992092-ABC6-4055-B693-E7E92CD5FF26}"/>
    <hyperlink ref="B16" r:id="rId9" xr:uid="{917E35AA-1EC2-409C-BC49-BADE7CDDC1C3}"/>
    <hyperlink ref="A2:A8" r:id="rId10" display="For singles" xr:uid="{6D632FDD-4D37-4518-9954-8257AFAA14FB}"/>
    <hyperlink ref="A10:A12" r:id="rId11" display="For couples" xr:uid="{802E5131-1DCF-49DF-81C6-6699F18ED30F}"/>
    <hyperlink ref="A14:A16" r:id="rId12" display="For families" xr:uid="{7B052A4B-FB4B-42C9-8F5D-BFAE7181A3B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8E28-A79D-4381-BD33-6705F13C74E7}">
  <sheetPr>
    <tabColor rgb="FF7030A0"/>
  </sheetPr>
  <dimension ref="A1:H21"/>
  <sheetViews>
    <sheetView zoomScale="110" zoomScaleNormal="110" workbookViewId="0">
      <selection activeCell="E7" sqref="E7"/>
    </sheetView>
  </sheetViews>
  <sheetFormatPr defaultRowHeight="15" x14ac:dyDescent="0.25"/>
  <cols>
    <col min="2" max="2" width="45.42578125" customWidth="1"/>
    <col min="3" max="4" width="12.7109375" customWidth="1"/>
    <col min="5" max="5" width="13.28515625" bestFit="1" customWidth="1"/>
    <col min="6" max="6" width="12.42578125" bestFit="1" customWidth="1"/>
    <col min="7" max="7" width="11.7109375" customWidth="1"/>
    <col min="8" max="8" width="6.85546875" customWidth="1"/>
  </cols>
  <sheetData>
    <row r="1" spans="1:6" s="112" customFormat="1" ht="52.5" customHeight="1" x14ac:dyDescent="0.25">
      <c r="A1" s="174"/>
      <c r="B1" s="173"/>
      <c r="C1" s="175" t="s">
        <v>90</v>
      </c>
      <c r="D1" s="175" t="s">
        <v>86</v>
      </c>
      <c r="E1" s="181" t="s">
        <v>87</v>
      </c>
      <c r="F1" s="175" t="s">
        <v>88</v>
      </c>
    </row>
    <row r="2" spans="1:6" ht="15.75" x14ac:dyDescent="0.25">
      <c r="A2" s="270" t="s">
        <v>44</v>
      </c>
      <c r="B2" s="176" t="s">
        <v>67</v>
      </c>
      <c r="C2" s="179">
        <f>Master!P3</f>
        <v>378.56</v>
      </c>
      <c r="D2" s="183">
        <f>Master!Q3</f>
        <v>1676.48</v>
      </c>
      <c r="E2" s="182">
        <f>Master!S3</f>
        <v>19739.2</v>
      </c>
      <c r="F2" s="179">
        <v>0</v>
      </c>
    </row>
    <row r="3" spans="1:6" ht="15.75" x14ac:dyDescent="0.25">
      <c r="A3" s="270"/>
      <c r="B3" s="176" t="s">
        <v>68</v>
      </c>
      <c r="C3" s="179">
        <f>Master!P4</f>
        <v>352.57040000000001</v>
      </c>
      <c r="D3" s="183">
        <f>Master!Q4</f>
        <v>1561.3832000000002</v>
      </c>
      <c r="E3" s="182">
        <f>Master!S4</f>
        <v>18384.028000000002</v>
      </c>
      <c r="F3" s="179">
        <v>0</v>
      </c>
    </row>
    <row r="4" spans="1:6" ht="15.75" x14ac:dyDescent="0.25">
      <c r="A4" s="270"/>
      <c r="B4" s="176" t="s">
        <v>69</v>
      </c>
      <c r="C4" s="179">
        <f>Master!P5</f>
        <v>317.77199999999999</v>
      </c>
      <c r="D4" s="183">
        <f>Master!Q5</f>
        <v>1407.2760000000001</v>
      </c>
      <c r="E4" s="182">
        <f>Master!S5</f>
        <v>16569.54</v>
      </c>
      <c r="F4" s="179">
        <v>0</v>
      </c>
    </row>
    <row r="5" spans="1:6" ht="15.75" x14ac:dyDescent="0.25">
      <c r="A5" s="270"/>
      <c r="B5" s="176" t="s">
        <v>70</v>
      </c>
      <c r="C5" s="179">
        <f>Master!P6</f>
        <v>289.81680000000006</v>
      </c>
      <c r="D5" s="183">
        <f>Master!Q6</f>
        <v>1283.4744000000003</v>
      </c>
      <c r="E5" s="182">
        <f>Master!S6</f>
        <v>15111.876000000002</v>
      </c>
      <c r="F5" s="179">
        <v>0</v>
      </c>
    </row>
    <row r="6" spans="1:6" ht="15.75" x14ac:dyDescent="0.25">
      <c r="A6" s="270"/>
      <c r="B6" s="176" t="s">
        <v>71</v>
      </c>
      <c r="C6" s="179">
        <f>Master!P7</f>
        <v>258.7312</v>
      </c>
      <c r="D6" s="183">
        <f>Master!Q7</f>
        <v>1145.8095999999998</v>
      </c>
      <c r="E6" s="182">
        <f>Master!S7</f>
        <v>13490.983999999999</v>
      </c>
      <c r="F6" s="179">
        <v>0</v>
      </c>
    </row>
    <row r="7" spans="1:6" ht="15.75" x14ac:dyDescent="0.25">
      <c r="A7" s="270"/>
      <c r="B7" s="176" t="s">
        <v>72</v>
      </c>
      <c r="C7" s="179" t="e">
        <f>Master!#REF!</f>
        <v>#REF!</v>
      </c>
      <c r="D7" s="183" t="e">
        <f>Master!#REF!</f>
        <v>#REF!</v>
      </c>
      <c r="E7" s="182" t="e">
        <f>Master!#REF!</f>
        <v>#REF!</v>
      </c>
      <c r="F7" s="179">
        <v>0</v>
      </c>
    </row>
    <row r="8" spans="1:6" ht="15.75" x14ac:dyDescent="0.25">
      <c r="A8" s="270"/>
      <c r="B8" s="176" t="s">
        <v>79</v>
      </c>
      <c r="C8" s="179">
        <f>Master!P11</f>
        <v>464.6096</v>
      </c>
      <c r="D8" s="183">
        <f>Master!Q11</f>
        <v>2057.5567999999998</v>
      </c>
      <c r="E8" s="182">
        <f>Master!S11</f>
        <v>24226.072</v>
      </c>
      <c r="F8" s="195">
        <v>33.11</v>
      </c>
    </row>
    <row r="9" spans="1:6" ht="15.75" x14ac:dyDescent="0.25">
      <c r="A9" s="180"/>
      <c r="B9" s="169"/>
      <c r="C9" s="179"/>
      <c r="D9" s="183"/>
      <c r="E9" s="182"/>
      <c r="F9" s="196"/>
    </row>
    <row r="10" spans="1:6" ht="15.75" x14ac:dyDescent="0.25">
      <c r="A10" s="271" t="s">
        <v>85</v>
      </c>
      <c r="B10" s="177" t="s">
        <v>73</v>
      </c>
      <c r="C10" s="179">
        <f>Master!P8</f>
        <v>399.8904</v>
      </c>
      <c r="D10" s="183">
        <f>Master!Q8</f>
        <v>1770.9432000000002</v>
      </c>
      <c r="E10" s="182">
        <f>Master!S8</f>
        <v>20851.428</v>
      </c>
      <c r="F10" s="179">
        <v>0</v>
      </c>
    </row>
    <row r="11" spans="1:6" ht="15.75" x14ac:dyDescent="0.25">
      <c r="A11" s="270"/>
      <c r="B11" s="176" t="s">
        <v>80</v>
      </c>
      <c r="C11" s="179">
        <f>Master!P10</f>
        <v>487.32319999999999</v>
      </c>
      <c r="D11" s="183">
        <f>Master!Q10</f>
        <v>2158.1455999999998</v>
      </c>
      <c r="E11" s="182">
        <f>Master!S10</f>
        <v>25410.423999999999</v>
      </c>
      <c r="F11" s="195">
        <v>33.11</v>
      </c>
    </row>
    <row r="12" spans="1:6" ht="15.75" x14ac:dyDescent="0.25">
      <c r="A12" s="270"/>
      <c r="B12" s="176" t="s">
        <v>74</v>
      </c>
      <c r="C12" s="179">
        <f>Master!P12</f>
        <v>556.77440000000001</v>
      </c>
      <c r="D12" s="183">
        <f>Master!Q12</f>
        <v>2465.7152000000001</v>
      </c>
      <c r="E12" s="182">
        <f>Master!S12</f>
        <v>29031.808000000005</v>
      </c>
      <c r="F12" s="195">
        <v>43.83</v>
      </c>
    </row>
    <row r="13" spans="1:6" ht="15.75" x14ac:dyDescent="0.25">
      <c r="A13" s="180"/>
      <c r="B13" s="169"/>
      <c r="C13" s="179"/>
      <c r="D13" s="183"/>
      <c r="E13" s="182"/>
      <c r="F13" s="196"/>
    </row>
    <row r="14" spans="1:6" ht="15.75" x14ac:dyDescent="0.25">
      <c r="A14" s="271" t="s">
        <v>89</v>
      </c>
      <c r="B14" s="176" t="s">
        <v>76</v>
      </c>
      <c r="C14" s="183">
        <v>590.77200000000016</v>
      </c>
      <c r="D14" s="183">
        <f>Master!Q15</f>
        <v>2762.6455999999998</v>
      </c>
      <c r="E14" s="182">
        <f>Master!S15</f>
        <v>32527.923999999999</v>
      </c>
      <c r="F14" s="195">
        <v>57.02</v>
      </c>
    </row>
    <row r="15" spans="1:6" ht="30" x14ac:dyDescent="0.25">
      <c r="A15" s="270"/>
      <c r="B15" s="176" t="s">
        <v>75</v>
      </c>
      <c r="C15" s="183">
        <v>619.45519999999999</v>
      </c>
      <c r="D15" s="183">
        <f>Master!Q16</f>
        <v>2906.1136000000001</v>
      </c>
      <c r="E15" s="182">
        <f>Master!S16</f>
        <v>34217.144</v>
      </c>
      <c r="F15" s="195">
        <v>69.44</v>
      </c>
    </row>
    <row r="16" spans="1:6" ht="30" x14ac:dyDescent="0.25">
      <c r="A16" s="270"/>
      <c r="B16" s="176" t="s">
        <v>77</v>
      </c>
      <c r="C16" s="183">
        <v>693.85680000000002</v>
      </c>
      <c r="D16" s="183">
        <f>Master!Q17</f>
        <v>3241.4096000000004</v>
      </c>
      <c r="E16" s="182">
        <f>Master!S17</f>
        <v>38164.984000000004</v>
      </c>
      <c r="F16" s="195">
        <v>73.239999999999995</v>
      </c>
    </row>
    <row r="17" spans="1:8" x14ac:dyDescent="0.25">
      <c r="C17" s="178"/>
      <c r="D17" s="178"/>
      <c r="E17" s="178"/>
      <c r="F17" s="178"/>
    </row>
    <row r="19" spans="1:8" ht="53.45" customHeight="1" x14ac:dyDescent="0.25">
      <c r="A19" s="272" t="s">
        <v>117</v>
      </c>
      <c r="B19" s="272"/>
      <c r="C19" s="272"/>
      <c r="D19" s="272"/>
      <c r="E19" s="272"/>
      <c r="F19" s="272"/>
      <c r="G19" s="272"/>
      <c r="H19" s="272"/>
    </row>
    <row r="21" spans="1:8" ht="45.6" customHeight="1" x14ac:dyDescent="0.25">
      <c r="A21" s="198" t="s">
        <v>118</v>
      </c>
      <c r="B21" s="264"/>
      <c r="C21" s="264"/>
      <c r="D21" s="264"/>
      <c r="E21" s="264"/>
      <c r="F21" s="264"/>
      <c r="G21" s="264"/>
    </row>
  </sheetData>
  <mergeCells count="5">
    <mergeCell ref="A2:A8"/>
    <mergeCell ref="A10:A12"/>
    <mergeCell ref="A14:A16"/>
    <mergeCell ref="B21:G21"/>
    <mergeCell ref="A19:H19"/>
  </mergeCells>
  <hyperlinks>
    <hyperlink ref="B4:B6" r:id="rId1" display="Single A" xr:uid="{8BAA68F4-1713-480B-9F4D-D54A77798359}"/>
    <hyperlink ref="B2:B3" r:id="rId2" display="Single en suite A &amp; Accessible ensuite" xr:uid="{ED220FAB-1E80-46C9-AD85-B46AA1055F81}"/>
    <hyperlink ref="B7" r:id="rId3" xr:uid="{60CE506D-0203-42AD-B56A-A0156D6D1618}"/>
    <hyperlink ref="B8" r:id="rId4" xr:uid="{3D2A228E-D211-45D2-8C04-776D012C79D8}"/>
    <hyperlink ref="B10" r:id="rId5" xr:uid="{A0C27720-D0CB-46AB-A053-E77FCFD318B9}"/>
    <hyperlink ref="B11" r:id="rId6" xr:uid="{0A96AC2E-B0CE-47BD-BC68-3511FBA1794B}"/>
    <hyperlink ref="B12" r:id="rId7" xr:uid="{FFCFB2F1-1692-4B78-90F7-473D1F3F7A94}"/>
    <hyperlink ref="B14:B15" r:id="rId8" display="2 bedroom family flat A (couple plus one child)" xr:uid="{580C8601-CCFB-4434-B6EE-34DF63108986}"/>
    <hyperlink ref="B16" r:id="rId9" xr:uid="{83F1CE64-AD49-4F88-BD64-525FB0857789}"/>
    <hyperlink ref="A2:A8" r:id="rId10" display="For singles" xr:uid="{04BCFA5A-8A8C-4601-A5A9-536BF81E4D77}"/>
    <hyperlink ref="A10:A12" r:id="rId11" display="For couples" xr:uid="{A7B926A8-0C40-40FA-9898-FBAE48AB65AB}"/>
    <hyperlink ref="A14:A16" r:id="rId12" display="For families" xr:uid="{1DFDD142-1278-4C71-B72E-E0714EBA107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E13F-4415-4B8B-BFE7-5FD3B388ADB2}">
  <dimension ref="A1:AU36"/>
  <sheetViews>
    <sheetView workbookViewId="0">
      <selection activeCell="B10" sqref="B10"/>
    </sheetView>
  </sheetViews>
  <sheetFormatPr defaultRowHeight="15" x14ac:dyDescent="0.25"/>
  <cols>
    <col min="3" max="3" width="32" customWidth="1"/>
    <col min="4" max="4" width="2.7109375" customWidth="1"/>
    <col min="5" max="5" width="7.28515625" bestFit="1" customWidth="1"/>
    <col min="6" max="6" width="8.42578125" bestFit="1" customWidth="1"/>
    <col min="7" max="7" width="8.85546875" bestFit="1" customWidth="1"/>
    <col min="8" max="9" width="8.5703125" hidden="1" customWidth="1"/>
    <col min="10" max="11" width="10.5703125" hidden="1" customWidth="1"/>
    <col min="12" max="12" width="8" hidden="1" customWidth="1"/>
    <col min="13" max="14" width="8.85546875" hidden="1" customWidth="1"/>
    <col min="15" max="15" width="10.5703125" customWidth="1"/>
    <col min="16" max="16" width="9.85546875" style="60" customWidth="1"/>
    <col min="17" max="17" width="8.5703125" bestFit="1" customWidth="1"/>
    <col min="18" max="18" width="12.28515625" style="101" bestFit="1" customWidth="1"/>
    <col min="19" max="19" width="11.28515625" bestFit="1" customWidth="1"/>
    <col min="20" max="20" width="10.5703125" style="102" bestFit="1" customWidth="1"/>
    <col min="21" max="21" width="11.140625" bestFit="1" customWidth="1"/>
    <col min="22" max="22" width="11.28515625" bestFit="1" customWidth="1"/>
    <col min="23" max="23" width="11.85546875" style="102" bestFit="1" customWidth="1"/>
    <col min="24" max="24" width="9.85546875" bestFit="1" customWidth="1"/>
    <col min="25" max="25" width="12.28515625" bestFit="1" customWidth="1"/>
    <col min="26" max="26" width="12.140625" bestFit="1" customWidth="1"/>
    <col min="27" max="27" width="12" customWidth="1"/>
    <col min="28" max="28" width="12.28515625" bestFit="1" customWidth="1"/>
    <col min="29" max="29" width="12.42578125" customWidth="1"/>
    <col min="30" max="30" width="12.140625" hidden="1" customWidth="1"/>
    <col min="31" max="32" width="11.85546875" hidden="1" customWidth="1"/>
    <col min="33" max="33" width="0.5703125" hidden="1" customWidth="1"/>
    <col min="34" max="34" width="11.85546875" bestFit="1" customWidth="1"/>
    <col min="35" max="36" width="13.140625" bestFit="1" customWidth="1"/>
    <col min="37" max="37" width="9.85546875" bestFit="1" customWidth="1"/>
    <col min="38" max="38" width="11.85546875" bestFit="1" customWidth="1"/>
    <col min="39" max="39" width="9.85546875" customWidth="1"/>
    <col min="40" max="40" width="9.85546875" bestFit="1" customWidth="1"/>
    <col min="41" max="41" width="11.85546875" bestFit="1" customWidth="1"/>
    <col min="42" max="42" width="9.85546875" bestFit="1" customWidth="1"/>
    <col min="43" max="43" width="11.85546875" bestFit="1" customWidth="1"/>
    <col min="44" max="44" width="12.28515625" bestFit="1" customWidth="1"/>
    <col min="45" max="45" width="11.85546875" bestFit="1" customWidth="1"/>
    <col min="47" max="47" width="16" customWidth="1"/>
  </cols>
  <sheetData>
    <row r="1" spans="1:47" ht="21.75" thickBot="1" x14ac:dyDescent="0.4">
      <c r="A1" s="1" t="s">
        <v>106</v>
      </c>
      <c r="B1" s="2"/>
      <c r="C1" s="2"/>
      <c r="D1" s="2"/>
      <c r="E1" s="2"/>
      <c r="F1" s="2"/>
      <c r="G1" s="2"/>
      <c r="H1" s="3"/>
      <c r="I1" s="3"/>
      <c r="J1" s="3"/>
      <c r="K1" s="3"/>
      <c r="L1" s="4"/>
      <c r="M1" s="3"/>
      <c r="N1" s="5"/>
      <c r="O1" s="3"/>
      <c r="P1" s="6"/>
      <c r="Q1" s="273" t="s">
        <v>0</v>
      </c>
      <c r="R1" s="274"/>
      <c r="S1" s="274"/>
      <c r="T1" s="247">
        <v>0.04</v>
      </c>
      <c r="U1" s="248"/>
      <c r="V1" s="248"/>
      <c r="W1" s="248">
        <v>0.2</v>
      </c>
      <c r="X1" s="248"/>
      <c r="Y1" s="7"/>
      <c r="Z1" s="275" t="s">
        <v>43</v>
      </c>
      <c r="AA1" s="276"/>
      <c r="AB1" s="276"/>
      <c r="AC1" s="277"/>
      <c r="AD1" s="278" t="s">
        <v>1</v>
      </c>
      <c r="AE1" s="278"/>
      <c r="AF1" s="278"/>
      <c r="AG1" s="278"/>
      <c r="AH1" s="273" t="s">
        <v>2</v>
      </c>
      <c r="AI1" s="274"/>
      <c r="AJ1" s="274"/>
      <c r="AK1" s="274"/>
      <c r="AL1" s="274"/>
      <c r="AM1" s="8"/>
      <c r="AN1" s="243" t="s">
        <v>3</v>
      </c>
      <c r="AO1" s="243"/>
      <c r="AP1" s="243"/>
      <c r="AQ1" s="243"/>
      <c r="AR1" s="243"/>
      <c r="AS1" s="244"/>
    </row>
    <row r="2" spans="1:47" ht="106.5" customHeight="1" thickBot="1" x14ac:dyDescent="0.3">
      <c r="A2" s="9"/>
      <c r="B2" s="10"/>
      <c r="C2" s="11"/>
      <c r="D2" s="11"/>
      <c r="E2" s="11"/>
      <c r="F2" s="11"/>
      <c r="G2" s="12" t="s">
        <v>105</v>
      </c>
      <c r="H2" s="13" t="s">
        <v>4</v>
      </c>
      <c r="I2" s="13" t="s">
        <v>5</v>
      </c>
      <c r="J2" s="13" t="s">
        <v>6</v>
      </c>
      <c r="K2" s="13" t="s">
        <v>7</v>
      </c>
      <c r="L2" s="14"/>
      <c r="M2" s="15" t="s">
        <v>8</v>
      </c>
      <c r="N2" s="13" t="s">
        <v>9</v>
      </c>
      <c r="O2" s="15" t="s">
        <v>113</v>
      </c>
      <c r="P2" s="16" t="s">
        <v>97</v>
      </c>
      <c r="Q2" s="17" t="s">
        <v>98</v>
      </c>
      <c r="R2" s="18" t="s">
        <v>99</v>
      </c>
      <c r="S2" s="13" t="s">
        <v>107</v>
      </c>
      <c r="T2" s="19" t="s">
        <v>100</v>
      </c>
      <c r="U2" s="20" t="s">
        <v>101</v>
      </c>
      <c r="V2" s="21" t="s">
        <v>102</v>
      </c>
      <c r="W2" s="22" t="s">
        <v>103</v>
      </c>
      <c r="X2" s="23" t="s">
        <v>104</v>
      </c>
      <c r="Y2" s="24" t="s">
        <v>10</v>
      </c>
      <c r="Z2" s="25" t="s">
        <v>11</v>
      </c>
      <c r="AA2" s="15" t="s">
        <v>114</v>
      </c>
      <c r="AB2" s="15" t="s">
        <v>12</v>
      </c>
      <c r="AC2" s="26" t="s">
        <v>13</v>
      </c>
      <c r="AD2" s="27" t="s">
        <v>14</v>
      </c>
      <c r="AE2" s="28" t="s">
        <v>15</v>
      </c>
      <c r="AF2" s="28" t="s">
        <v>12</v>
      </c>
      <c r="AG2" s="29" t="s">
        <v>13</v>
      </c>
      <c r="AH2" s="17" t="s">
        <v>16</v>
      </c>
      <c r="AI2" s="13" t="s">
        <v>17</v>
      </c>
      <c r="AJ2" s="13" t="s">
        <v>108</v>
      </c>
      <c r="AK2" s="13" t="s">
        <v>18</v>
      </c>
      <c r="AL2" s="107" t="s">
        <v>109</v>
      </c>
      <c r="AM2" s="30" t="s">
        <v>10</v>
      </c>
      <c r="AN2" s="31" t="s">
        <v>11</v>
      </c>
      <c r="AO2" s="31" t="s">
        <v>16</v>
      </c>
      <c r="AP2" s="31" t="s">
        <v>18</v>
      </c>
      <c r="AQ2" s="32" t="s">
        <v>19</v>
      </c>
      <c r="AR2" s="32" t="s">
        <v>20</v>
      </c>
      <c r="AS2" s="33" t="s">
        <v>21</v>
      </c>
      <c r="AT2" s="191" t="s">
        <v>110</v>
      </c>
      <c r="AU2" s="191" t="s">
        <v>111</v>
      </c>
    </row>
    <row r="3" spans="1:47" ht="15.75" x14ac:dyDescent="0.25">
      <c r="A3" s="34" t="s">
        <v>22</v>
      </c>
      <c r="B3" s="35" t="s">
        <v>23</v>
      </c>
      <c r="C3" s="35" t="s">
        <v>24</v>
      </c>
      <c r="D3" s="35" t="s">
        <v>25</v>
      </c>
      <c r="E3" s="36">
        <v>134</v>
      </c>
      <c r="F3" s="36">
        <v>134</v>
      </c>
      <c r="G3" s="36">
        <v>134</v>
      </c>
      <c r="H3" s="37">
        <v>39.82</v>
      </c>
      <c r="I3" s="37">
        <v>1.02</v>
      </c>
      <c r="J3" s="38">
        <f t="shared" ref="J3:J7" si="0">H3*I3</f>
        <v>40.616399999999999</v>
      </c>
      <c r="K3" s="38">
        <f>J3*1.04</f>
        <v>42.241056</v>
      </c>
      <c r="L3" s="39">
        <f t="shared" ref="L3:L7" si="1">N3*1.04*7</f>
        <v>295.71359999999999</v>
      </c>
      <c r="M3" s="40">
        <f t="shared" ref="M3:M7" si="2">N3*7</f>
        <v>284.33999999999997</v>
      </c>
      <c r="N3" s="41">
        <v>40.619999999999997</v>
      </c>
      <c r="O3" s="41">
        <f>(P3*1.04)*31</f>
        <v>1572.6672000000001</v>
      </c>
      <c r="P3" s="44">
        <v>48.78</v>
      </c>
      <c r="Q3" s="42">
        <v>0.03</v>
      </c>
      <c r="R3" s="43">
        <f t="shared" ref="R3:R14" si="3">P3*(1+Q3)</f>
        <v>50.243400000000001</v>
      </c>
      <c r="S3" s="184">
        <v>50.24</v>
      </c>
      <c r="T3" s="45">
        <f t="shared" ref="T3:T14" si="4">S3*1.04</f>
        <v>52.249600000000001</v>
      </c>
      <c r="U3" s="46">
        <v>52.25</v>
      </c>
      <c r="V3" s="47">
        <f t="shared" ref="V3:V14" si="5">T3*7</f>
        <v>365.74720000000002</v>
      </c>
      <c r="W3" s="201">
        <f t="shared" ref="W3:W14" si="6">S3*1.2</f>
        <v>60.287999999999997</v>
      </c>
      <c r="X3" s="48">
        <v>60.29</v>
      </c>
      <c r="Y3" s="49"/>
      <c r="Z3" s="50">
        <f t="shared" ref="Z3:Z14" si="7">T3*7</f>
        <v>365.74720000000002</v>
      </c>
      <c r="AA3" s="51">
        <f t="shared" ref="AA3:AA14" si="8">T3*31</f>
        <v>1619.7375999999999</v>
      </c>
      <c r="AB3" s="51">
        <f>AC3/12</f>
        <v>1589.2586666666666</v>
      </c>
      <c r="AC3" s="52">
        <f t="shared" ref="AC3:AC14" si="9">T3*365</f>
        <v>19071.103999999999</v>
      </c>
      <c r="AD3" s="53">
        <f t="shared" ref="AD3:AD14" si="10">U3*7</f>
        <v>365.75</v>
      </c>
      <c r="AE3" s="54">
        <f t="shared" ref="AE3:AE14" si="11">31*U3</f>
        <v>1619.75</v>
      </c>
      <c r="AF3" s="54">
        <f>AG3/12</f>
        <v>1589.2708333333333</v>
      </c>
      <c r="AG3" s="54">
        <f t="shared" ref="AG3:AG14" si="12">U3*365</f>
        <v>19071.25</v>
      </c>
      <c r="AH3" s="55">
        <f t="shared" ref="AH3:AH14" si="13">W3*28</f>
        <v>1688.0639999999999</v>
      </c>
      <c r="AI3" s="56">
        <f t="shared" ref="AI3:AI14" si="14">T3*337</f>
        <v>17608.1152</v>
      </c>
      <c r="AJ3" s="56">
        <f t="shared" ref="AJ3:AJ14" si="15">AH3+AI3</f>
        <v>19296.179199999999</v>
      </c>
      <c r="AK3" s="56">
        <v>400</v>
      </c>
      <c r="AL3" s="108">
        <f t="shared" ref="AL3:AL14" si="16">AH3+AK3</f>
        <v>2088.0639999999999</v>
      </c>
      <c r="AM3" s="57"/>
      <c r="AN3" s="111">
        <f>Z3</f>
        <v>365.74720000000002</v>
      </c>
      <c r="AO3" s="111">
        <f t="shared" ref="AO3:AO14" si="17">AH3</f>
        <v>1688.0639999999999</v>
      </c>
      <c r="AP3" s="111">
        <f>AK3</f>
        <v>400</v>
      </c>
      <c r="AQ3" s="111">
        <f>AO3+AP3</f>
        <v>2088.0639999999999</v>
      </c>
      <c r="AR3" s="111">
        <f t="shared" ref="AR3:AR14" si="18">(T3*365)/12</f>
        <v>1589.2586666666666</v>
      </c>
      <c r="AS3" s="58">
        <f>AA3</f>
        <v>1619.7375999999999</v>
      </c>
      <c r="AT3" s="102">
        <f t="shared" ref="AT3:AT14" si="19">AS3-O3</f>
        <v>47.070399999999836</v>
      </c>
      <c r="AU3" s="60">
        <f t="shared" ref="AU3:AU14" si="20" xml:space="preserve"> (S3*365)*G3</f>
        <v>2457238.4000000004</v>
      </c>
    </row>
    <row r="4" spans="1:47" ht="15.75" x14ac:dyDescent="0.25">
      <c r="A4" s="34"/>
      <c r="B4" s="35" t="s">
        <v>23</v>
      </c>
      <c r="C4" s="35" t="s">
        <v>26</v>
      </c>
      <c r="D4" s="35" t="s">
        <v>27</v>
      </c>
      <c r="E4" s="36">
        <v>21</v>
      </c>
      <c r="F4" s="36">
        <v>21</v>
      </c>
      <c r="G4" s="36">
        <v>21</v>
      </c>
      <c r="H4" s="37">
        <v>38.17</v>
      </c>
      <c r="I4" s="37">
        <v>1.02</v>
      </c>
      <c r="J4" s="38">
        <f t="shared" si="0"/>
        <v>38.933399999999999</v>
      </c>
      <c r="K4" s="38">
        <f t="shared" ref="K4:K7" si="21">J4*1.04</f>
        <v>40.490735999999998</v>
      </c>
      <c r="L4" s="39">
        <f t="shared" si="1"/>
        <v>283.41039999999998</v>
      </c>
      <c r="M4" s="40">
        <f t="shared" si="2"/>
        <v>272.51</v>
      </c>
      <c r="N4" s="41">
        <v>38.93</v>
      </c>
      <c r="O4" s="41">
        <f t="shared" ref="O4:O21" si="22">(P4*1.04)*31</f>
        <v>1464.6632</v>
      </c>
      <c r="P4" s="63">
        <v>45.43</v>
      </c>
      <c r="Q4" s="61">
        <v>0.03</v>
      </c>
      <c r="R4" s="62">
        <f t="shared" si="3"/>
        <v>46.792900000000003</v>
      </c>
      <c r="S4" s="185">
        <v>46.79</v>
      </c>
      <c r="T4" s="64">
        <f t="shared" si="4"/>
        <v>48.6616</v>
      </c>
      <c r="U4" s="65">
        <v>48.66</v>
      </c>
      <c r="V4" s="66">
        <f t="shared" si="5"/>
        <v>340.63119999999998</v>
      </c>
      <c r="W4" s="202">
        <f t="shared" si="6"/>
        <v>56.147999999999996</v>
      </c>
      <c r="X4" s="67">
        <v>56.15</v>
      </c>
      <c r="Y4" s="68"/>
      <c r="Z4" s="69">
        <f t="shared" si="7"/>
        <v>340.63119999999998</v>
      </c>
      <c r="AA4" s="70">
        <f t="shared" si="8"/>
        <v>1508.5096000000001</v>
      </c>
      <c r="AB4" s="70">
        <f t="shared" ref="AB4:AB7" si="23">AC4/12</f>
        <v>1480.1236666666666</v>
      </c>
      <c r="AC4" s="71">
        <f t="shared" si="9"/>
        <v>17761.484</v>
      </c>
      <c r="AD4" s="53">
        <f t="shared" si="10"/>
        <v>340.62</v>
      </c>
      <c r="AE4" s="54">
        <f t="shared" si="11"/>
        <v>1508.4599999999998</v>
      </c>
      <c r="AF4" s="54">
        <f t="shared" ref="AF4:AF7" si="24">AG4/12</f>
        <v>1480.0749999999998</v>
      </c>
      <c r="AG4" s="54">
        <f t="shared" si="12"/>
        <v>17760.899999999998</v>
      </c>
      <c r="AH4" s="59">
        <f t="shared" si="13"/>
        <v>1572.1439999999998</v>
      </c>
      <c r="AI4" s="106">
        <f t="shared" si="14"/>
        <v>16398.959200000001</v>
      </c>
      <c r="AJ4" s="106">
        <f t="shared" si="15"/>
        <v>17971.103200000001</v>
      </c>
      <c r="AK4" s="106">
        <v>400</v>
      </c>
      <c r="AL4" s="109">
        <f t="shared" si="16"/>
        <v>1972.1439999999998</v>
      </c>
      <c r="AM4" s="57"/>
      <c r="AN4" s="111">
        <f t="shared" ref="AN4:AN21" si="25">Z4</f>
        <v>340.63119999999998</v>
      </c>
      <c r="AO4" s="111">
        <f t="shared" si="17"/>
        <v>1572.1439999999998</v>
      </c>
      <c r="AP4" s="111">
        <f t="shared" ref="AP4:AP14" si="26">AK4</f>
        <v>400</v>
      </c>
      <c r="AQ4" s="111">
        <f t="shared" ref="AQ4:AQ14" si="27">AO4+AP4</f>
        <v>1972.1439999999998</v>
      </c>
      <c r="AR4" s="111">
        <f t="shared" si="18"/>
        <v>1480.1236666666666</v>
      </c>
      <c r="AS4" s="58">
        <f t="shared" ref="AS4:AS21" si="28">AA4</f>
        <v>1508.5096000000001</v>
      </c>
      <c r="AT4" s="102">
        <f t="shared" si="19"/>
        <v>43.846400000000131</v>
      </c>
      <c r="AU4" s="60">
        <f t="shared" si="20"/>
        <v>358645.35</v>
      </c>
    </row>
    <row r="5" spans="1:47" ht="15.75" x14ac:dyDescent="0.25">
      <c r="A5" s="34"/>
      <c r="B5" s="35" t="s">
        <v>28</v>
      </c>
      <c r="C5" s="35" t="s">
        <v>29</v>
      </c>
      <c r="D5" s="35" t="s">
        <v>25</v>
      </c>
      <c r="E5" s="36">
        <v>67</v>
      </c>
      <c r="F5" s="36">
        <v>67</v>
      </c>
      <c r="G5" s="36">
        <v>67</v>
      </c>
      <c r="H5" s="37">
        <v>34.93</v>
      </c>
      <c r="I5" s="37">
        <v>1.02</v>
      </c>
      <c r="J5" s="38">
        <f t="shared" si="0"/>
        <v>35.628599999999999</v>
      </c>
      <c r="K5" s="38">
        <f t="shared" si="21"/>
        <v>37.053744000000002</v>
      </c>
      <c r="L5" s="39">
        <f t="shared" si="1"/>
        <v>259.38640000000004</v>
      </c>
      <c r="M5" s="40">
        <f t="shared" si="2"/>
        <v>249.41000000000003</v>
      </c>
      <c r="N5" s="41">
        <v>35.630000000000003</v>
      </c>
      <c r="O5" s="41">
        <f t="shared" si="22"/>
        <v>1379.5496000000001</v>
      </c>
      <c r="P5" s="63">
        <v>42.79</v>
      </c>
      <c r="Q5" s="61">
        <v>0.01</v>
      </c>
      <c r="R5" s="62">
        <f t="shared" si="3"/>
        <v>43.2179</v>
      </c>
      <c r="S5" s="185">
        <v>43.22</v>
      </c>
      <c r="T5" s="64">
        <f t="shared" si="4"/>
        <v>44.948799999999999</v>
      </c>
      <c r="U5" s="65">
        <v>44.95</v>
      </c>
      <c r="V5" s="66">
        <f t="shared" si="5"/>
        <v>314.64159999999998</v>
      </c>
      <c r="W5" s="202">
        <f t="shared" si="6"/>
        <v>51.863999999999997</v>
      </c>
      <c r="X5" s="67">
        <v>51.86</v>
      </c>
      <c r="Y5" s="68"/>
      <c r="Z5" s="69">
        <f t="shared" si="7"/>
        <v>314.64159999999998</v>
      </c>
      <c r="AA5" s="70">
        <f t="shared" si="8"/>
        <v>1393.4128000000001</v>
      </c>
      <c r="AB5" s="70">
        <f t="shared" si="23"/>
        <v>1367.1926666666666</v>
      </c>
      <c r="AC5" s="71">
        <f t="shared" si="9"/>
        <v>16406.311999999998</v>
      </c>
      <c r="AD5" s="53">
        <f t="shared" si="10"/>
        <v>314.65000000000003</v>
      </c>
      <c r="AE5" s="54">
        <f t="shared" si="11"/>
        <v>1393.45</v>
      </c>
      <c r="AF5" s="54">
        <f t="shared" si="24"/>
        <v>1367.2291666666667</v>
      </c>
      <c r="AG5" s="54">
        <f t="shared" si="12"/>
        <v>16406.75</v>
      </c>
      <c r="AH5" s="59">
        <f t="shared" si="13"/>
        <v>1452.192</v>
      </c>
      <c r="AI5" s="106">
        <f t="shared" si="14"/>
        <v>15147.7456</v>
      </c>
      <c r="AJ5" s="106">
        <f t="shared" si="15"/>
        <v>16599.937600000001</v>
      </c>
      <c r="AK5" s="106">
        <v>400</v>
      </c>
      <c r="AL5" s="109">
        <f t="shared" si="16"/>
        <v>1852.192</v>
      </c>
      <c r="AM5" s="57"/>
      <c r="AN5" s="111">
        <f t="shared" si="25"/>
        <v>314.64159999999998</v>
      </c>
      <c r="AO5" s="111">
        <f t="shared" si="17"/>
        <v>1452.192</v>
      </c>
      <c r="AP5" s="111">
        <f t="shared" si="26"/>
        <v>400</v>
      </c>
      <c r="AQ5" s="111">
        <f t="shared" si="27"/>
        <v>1852.192</v>
      </c>
      <c r="AR5" s="111">
        <f t="shared" si="18"/>
        <v>1367.1926666666666</v>
      </c>
      <c r="AS5" s="58">
        <f t="shared" si="28"/>
        <v>1393.4128000000001</v>
      </c>
      <c r="AT5" s="102">
        <f t="shared" si="19"/>
        <v>13.863200000000006</v>
      </c>
      <c r="AU5" s="60">
        <f t="shared" si="20"/>
        <v>1056945.0999999999</v>
      </c>
    </row>
    <row r="6" spans="1:47" ht="15.75" x14ac:dyDescent="0.25">
      <c r="A6" s="34"/>
      <c r="B6" s="35" t="s">
        <v>30</v>
      </c>
      <c r="C6" s="35" t="s">
        <v>31</v>
      </c>
      <c r="D6" s="35" t="s">
        <v>27</v>
      </c>
      <c r="E6" s="36">
        <v>206</v>
      </c>
      <c r="F6" s="36">
        <v>206</v>
      </c>
      <c r="G6" s="36">
        <v>206</v>
      </c>
      <c r="H6" s="37">
        <v>31.08</v>
      </c>
      <c r="I6" s="37">
        <v>1.01</v>
      </c>
      <c r="J6" s="38">
        <f t="shared" si="0"/>
        <v>31.390799999999999</v>
      </c>
      <c r="K6" s="38">
        <f t="shared" si="21"/>
        <v>32.646431999999997</v>
      </c>
      <c r="L6" s="39">
        <f t="shared" si="1"/>
        <v>228.51920000000001</v>
      </c>
      <c r="M6" s="40">
        <f t="shared" si="2"/>
        <v>219.73000000000002</v>
      </c>
      <c r="N6" s="41">
        <v>31.39</v>
      </c>
      <c r="O6" s="41">
        <f t="shared" si="22"/>
        <v>1203.8416000000002</v>
      </c>
      <c r="P6" s="63">
        <v>37.340000000000003</v>
      </c>
      <c r="Q6" s="61">
        <v>0.03</v>
      </c>
      <c r="R6" s="62">
        <f t="shared" si="3"/>
        <v>38.460200000000007</v>
      </c>
      <c r="S6" s="185">
        <v>38.46</v>
      </c>
      <c r="T6" s="64">
        <f>S6*1.04</f>
        <v>39.998400000000004</v>
      </c>
      <c r="U6" s="65">
        <v>40</v>
      </c>
      <c r="V6" s="66">
        <f t="shared" si="5"/>
        <v>279.98880000000003</v>
      </c>
      <c r="W6" s="202">
        <f t="shared" si="6"/>
        <v>46.152000000000001</v>
      </c>
      <c r="X6" s="67">
        <v>46.15</v>
      </c>
      <c r="Y6" s="68"/>
      <c r="Z6" s="69">
        <f t="shared" si="7"/>
        <v>279.98880000000003</v>
      </c>
      <c r="AA6" s="70">
        <f t="shared" si="8"/>
        <v>1239.9504000000002</v>
      </c>
      <c r="AB6" s="70">
        <f t="shared" si="23"/>
        <v>1216.6180000000002</v>
      </c>
      <c r="AC6" s="71">
        <f t="shared" si="9"/>
        <v>14599.416000000001</v>
      </c>
      <c r="AD6" s="53">
        <f t="shared" si="10"/>
        <v>280</v>
      </c>
      <c r="AE6" s="54">
        <f t="shared" si="11"/>
        <v>1240</v>
      </c>
      <c r="AF6" s="54">
        <f t="shared" si="24"/>
        <v>1216.6666666666667</v>
      </c>
      <c r="AG6" s="54">
        <f t="shared" si="12"/>
        <v>14600</v>
      </c>
      <c r="AH6" s="59">
        <f t="shared" si="13"/>
        <v>1292.2560000000001</v>
      </c>
      <c r="AI6" s="106">
        <f t="shared" si="14"/>
        <v>13479.460800000001</v>
      </c>
      <c r="AJ6" s="106">
        <f t="shared" si="15"/>
        <v>14771.7168</v>
      </c>
      <c r="AK6" s="106">
        <v>400</v>
      </c>
      <c r="AL6" s="109">
        <f t="shared" si="16"/>
        <v>1692.2560000000001</v>
      </c>
      <c r="AM6" s="57"/>
      <c r="AN6" s="111">
        <f t="shared" si="25"/>
        <v>279.98880000000003</v>
      </c>
      <c r="AO6" s="111">
        <f t="shared" si="17"/>
        <v>1292.2560000000001</v>
      </c>
      <c r="AP6" s="111">
        <f t="shared" si="26"/>
        <v>400</v>
      </c>
      <c r="AQ6" s="111">
        <f t="shared" si="27"/>
        <v>1692.2560000000001</v>
      </c>
      <c r="AR6" s="111">
        <f t="shared" si="18"/>
        <v>1216.6180000000002</v>
      </c>
      <c r="AS6" s="58">
        <f t="shared" si="28"/>
        <v>1239.9504000000002</v>
      </c>
      <c r="AT6" s="102">
        <f t="shared" si="19"/>
        <v>36.108799999999974</v>
      </c>
      <c r="AU6" s="60">
        <f t="shared" si="20"/>
        <v>2891807.4</v>
      </c>
    </row>
    <row r="7" spans="1:47" ht="15.75" x14ac:dyDescent="0.25">
      <c r="A7" s="34"/>
      <c r="B7" s="35" t="s">
        <v>30</v>
      </c>
      <c r="C7" s="35" t="s">
        <v>29</v>
      </c>
      <c r="D7" s="35" t="s">
        <v>32</v>
      </c>
      <c r="E7" s="36">
        <v>34</v>
      </c>
      <c r="F7" s="36">
        <v>34</v>
      </c>
      <c r="G7" s="36">
        <v>34</v>
      </c>
      <c r="H7" s="37">
        <v>28.29</v>
      </c>
      <c r="I7" s="37">
        <v>1.01</v>
      </c>
      <c r="J7" s="38">
        <f t="shared" si="0"/>
        <v>28.572900000000001</v>
      </c>
      <c r="K7" s="38">
        <f t="shared" si="21"/>
        <v>29.715816</v>
      </c>
      <c r="L7" s="39">
        <f t="shared" si="1"/>
        <v>207.9896</v>
      </c>
      <c r="M7" s="40">
        <f t="shared" si="2"/>
        <v>199.99</v>
      </c>
      <c r="N7" s="41">
        <v>28.57</v>
      </c>
      <c r="O7" s="41">
        <f t="shared" si="22"/>
        <v>1074.8816000000002</v>
      </c>
      <c r="P7" s="63">
        <v>33.340000000000003</v>
      </c>
      <c r="Q7" s="61">
        <v>0.03</v>
      </c>
      <c r="R7" s="62">
        <f t="shared" si="3"/>
        <v>34.340200000000003</v>
      </c>
      <c r="S7" s="185">
        <v>34.340000000000003</v>
      </c>
      <c r="T7" s="64">
        <f t="shared" si="4"/>
        <v>35.713600000000007</v>
      </c>
      <c r="U7" s="65">
        <v>35.71</v>
      </c>
      <c r="V7" s="66">
        <f t="shared" si="5"/>
        <v>249.99520000000004</v>
      </c>
      <c r="W7" s="202">
        <f t="shared" si="6"/>
        <v>41.208000000000006</v>
      </c>
      <c r="X7" s="67">
        <v>41.21</v>
      </c>
      <c r="Y7" s="68"/>
      <c r="Z7" s="69">
        <f t="shared" si="7"/>
        <v>249.99520000000004</v>
      </c>
      <c r="AA7" s="70">
        <f t="shared" si="8"/>
        <v>1107.1216000000002</v>
      </c>
      <c r="AB7" s="70">
        <f t="shared" si="23"/>
        <v>1086.2886666666668</v>
      </c>
      <c r="AC7" s="71">
        <f t="shared" si="9"/>
        <v>13035.464000000002</v>
      </c>
      <c r="AD7" s="53">
        <f t="shared" si="10"/>
        <v>249.97</v>
      </c>
      <c r="AE7" s="54">
        <f t="shared" si="11"/>
        <v>1107.01</v>
      </c>
      <c r="AF7" s="54">
        <f t="shared" si="24"/>
        <v>1086.1791666666666</v>
      </c>
      <c r="AG7" s="54">
        <f t="shared" si="12"/>
        <v>13034.15</v>
      </c>
      <c r="AH7" s="59">
        <f t="shared" si="13"/>
        <v>1153.8240000000001</v>
      </c>
      <c r="AI7" s="106">
        <f t="shared" si="14"/>
        <v>12035.483200000002</v>
      </c>
      <c r="AJ7" s="106">
        <f t="shared" si="15"/>
        <v>13189.307200000003</v>
      </c>
      <c r="AK7" s="106">
        <v>400</v>
      </c>
      <c r="AL7" s="109">
        <f t="shared" si="16"/>
        <v>1553.8240000000001</v>
      </c>
      <c r="AM7" s="57"/>
      <c r="AN7" s="111">
        <f t="shared" si="25"/>
        <v>249.99520000000004</v>
      </c>
      <c r="AO7" s="111">
        <f t="shared" si="17"/>
        <v>1153.8240000000001</v>
      </c>
      <c r="AP7" s="111">
        <f t="shared" si="26"/>
        <v>400</v>
      </c>
      <c r="AQ7" s="111">
        <f t="shared" si="27"/>
        <v>1553.8240000000001</v>
      </c>
      <c r="AR7" s="111">
        <f t="shared" si="18"/>
        <v>1086.2886666666668</v>
      </c>
      <c r="AS7" s="58">
        <f t="shared" si="28"/>
        <v>1107.1216000000002</v>
      </c>
      <c r="AT7" s="102">
        <f t="shared" si="19"/>
        <v>32.240000000000009</v>
      </c>
      <c r="AU7" s="60">
        <f t="shared" si="20"/>
        <v>426159.4</v>
      </c>
    </row>
    <row r="8" spans="1:47" ht="15.75" x14ac:dyDescent="0.25">
      <c r="A8" s="34"/>
      <c r="B8" s="35" t="s">
        <v>23</v>
      </c>
      <c r="C8" s="35" t="s">
        <v>33</v>
      </c>
      <c r="D8" s="35" t="s">
        <v>34</v>
      </c>
      <c r="E8" s="35">
        <f>G8*2</f>
        <v>44</v>
      </c>
      <c r="F8" s="35">
        <v>8</v>
      </c>
      <c r="G8" s="36">
        <v>22</v>
      </c>
      <c r="H8" s="37"/>
      <c r="I8" s="37"/>
      <c r="J8" s="38"/>
      <c r="K8" s="38"/>
      <c r="L8" s="39"/>
      <c r="M8" s="40"/>
      <c r="N8" s="41"/>
      <c r="O8" s="41">
        <f t="shared" si="22"/>
        <v>1572.6672000000001</v>
      </c>
      <c r="P8" s="63">
        <v>48.78</v>
      </c>
      <c r="Q8" s="61">
        <v>0.03</v>
      </c>
      <c r="R8" s="62">
        <f t="shared" si="3"/>
        <v>50.243400000000001</v>
      </c>
      <c r="S8" s="185">
        <v>50.24</v>
      </c>
      <c r="T8" s="64">
        <f t="shared" si="4"/>
        <v>52.249600000000001</v>
      </c>
      <c r="U8" s="65">
        <v>52.25</v>
      </c>
      <c r="V8" s="66">
        <f t="shared" si="5"/>
        <v>365.74720000000002</v>
      </c>
      <c r="W8" s="202">
        <f t="shared" si="6"/>
        <v>60.287999999999997</v>
      </c>
      <c r="X8" s="67">
        <v>60.29</v>
      </c>
      <c r="Y8" s="68"/>
      <c r="Z8" s="69">
        <f t="shared" si="7"/>
        <v>365.74720000000002</v>
      </c>
      <c r="AA8" s="70">
        <f t="shared" si="8"/>
        <v>1619.7375999999999</v>
      </c>
      <c r="AB8" s="70">
        <f>AC8/12</f>
        <v>1589.2586666666666</v>
      </c>
      <c r="AC8" s="71">
        <f t="shared" si="9"/>
        <v>19071.103999999999</v>
      </c>
      <c r="AD8" s="53">
        <f t="shared" si="10"/>
        <v>365.75</v>
      </c>
      <c r="AE8" s="54">
        <f t="shared" si="11"/>
        <v>1619.75</v>
      </c>
      <c r="AF8" s="54">
        <f>AG8/12</f>
        <v>1589.2708333333333</v>
      </c>
      <c r="AG8" s="54">
        <f t="shared" si="12"/>
        <v>19071.25</v>
      </c>
      <c r="AH8" s="59">
        <f t="shared" si="13"/>
        <v>1688.0639999999999</v>
      </c>
      <c r="AI8" s="106">
        <f t="shared" si="14"/>
        <v>17608.1152</v>
      </c>
      <c r="AJ8" s="106">
        <f t="shared" si="15"/>
        <v>19296.179199999999</v>
      </c>
      <c r="AK8" s="106">
        <v>400</v>
      </c>
      <c r="AL8" s="109">
        <f t="shared" si="16"/>
        <v>2088.0639999999999</v>
      </c>
      <c r="AM8" s="57"/>
      <c r="AN8" s="111">
        <f t="shared" si="25"/>
        <v>365.74720000000002</v>
      </c>
      <c r="AO8" s="111">
        <f t="shared" si="17"/>
        <v>1688.0639999999999</v>
      </c>
      <c r="AP8" s="111">
        <f t="shared" si="26"/>
        <v>400</v>
      </c>
      <c r="AQ8" s="111">
        <f t="shared" si="27"/>
        <v>2088.0639999999999</v>
      </c>
      <c r="AR8" s="111">
        <f t="shared" si="18"/>
        <v>1589.2586666666666</v>
      </c>
      <c r="AS8" s="58">
        <f t="shared" si="28"/>
        <v>1619.7375999999999</v>
      </c>
      <c r="AT8" s="102">
        <f t="shared" si="19"/>
        <v>47.070399999999836</v>
      </c>
      <c r="AU8" s="60">
        <f t="shared" si="20"/>
        <v>403427.20000000007</v>
      </c>
    </row>
    <row r="9" spans="1:47" ht="15.75" x14ac:dyDescent="0.25">
      <c r="A9" s="34"/>
      <c r="B9" s="35"/>
      <c r="C9" s="35" t="s">
        <v>120</v>
      </c>
      <c r="D9" s="35"/>
      <c r="E9" s="36">
        <v>16</v>
      </c>
      <c r="F9" s="36"/>
      <c r="G9" s="36">
        <v>16</v>
      </c>
      <c r="H9" s="37"/>
      <c r="I9" s="37"/>
      <c r="J9" s="38"/>
      <c r="K9" s="38"/>
      <c r="L9" s="39"/>
      <c r="M9" s="40"/>
      <c r="N9" s="41"/>
      <c r="O9" s="41"/>
      <c r="P9" s="63"/>
      <c r="Q9" s="61"/>
      <c r="R9" s="62">
        <f>R6*1.05</f>
        <v>40.383210000000012</v>
      </c>
      <c r="S9" s="185">
        <v>40.380000000000003</v>
      </c>
      <c r="T9" s="64">
        <f t="shared" si="4"/>
        <v>41.995200000000004</v>
      </c>
      <c r="U9" s="65">
        <v>41.99</v>
      </c>
      <c r="V9" s="66">
        <f t="shared" si="5"/>
        <v>293.96640000000002</v>
      </c>
      <c r="W9" s="202">
        <f t="shared" si="6"/>
        <v>48.456000000000003</v>
      </c>
      <c r="X9" s="67">
        <v>48.46</v>
      </c>
      <c r="Y9" s="68"/>
      <c r="Z9" s="69">
        <f t="shared" si="7"/>
        <v>293.96640000000002</v>
      </c>
      <c r="AA9" s="70">
        <f t="shared" si="8"/>
        <v>1301.8512000000001</v>
      </c>
      <c r="AB9" s="70">
        <f>AC9/12</f>
        <v>1277.354</v>
      </c>
      <c r="AC9" s="71">
        <f t="shared" si="9"/>
        <v>15328.248000000001</v>
      </c>
      <c r="AD9" s="53">
        <f t="shared" si="10"/>
        <v>293.93</v>
      </c>
      <c r="AE9" s="54">
        <f t="shared" si="11"/>
        <v>1301.69</v>
      </c>
      <c r="AF9" s="54">
        <f>AG9/12</f>
        <v>1277.1958333333334</v>
      </c>
      <c r="AG9" s="54">
        <f t="shared" si="12"/>
        <v>15326.35</v>
      </c>
      <c r="AH9" s="59">
        <f t="shared" si="13"/>
        <v>1356.768</v>
      </c>
      <c r="AI9" s="106">
        <f t="shared" si="14"/>
        <v>14152.382400000002</v>
      </c>
      <c r="AJ9" s="106">
        <f t="shared" si="15"/>
        <v>15509.150400000002</v>
      </c>
      <c r="AK9" s="106">
        <v>400</v>
      </c>
      <c r="AL9" s="109">
        <f t="shared" si="16"/>
        <v>1756.768</v>
      </c>
      <c r="AM9" s="57"/>
      <c r="AN9" s="111">
        <f t="shared" si="25"/>
        <v>293.96640000000002</v>
      </c>
      <c r="AO9" s="111">
        <f t="shared" si="17"/>
        <v>1356.768</v>
      </c>
      <c r="AP9" s="111"/>
      <c r="AQ9" s="111"/>
      <c r="AR9" s="111">
        <f t="shared" si="18"/>
        <v>1277.354</v>
      </c>
      <c r="AS9" s="58">
        <f t="shared" si="28"/>
        <v>1301.8512000000001</v>
      </c>
      <c r="AT9" s="102"/>
      <c r="AU9" s="60">
        <f t="shared" si="20"/>
        <v>235819.2</v>
      </c>
    </row>
    <row r="10" spans="1:47" ht="15.75" x14ac:dyDescent="0.25">
      <c r="A10" s="34"/>
      <c r="B10" s="35"/>
      <c r="C10" s="35" t="s">
        <v>121</v>
      </c>
      <c r="D10" s="35"/>
      <c r="E10" s="36">
        <v>6</v>
      </c>
      <c r="F10" s="36"/>
      <c r="G10" s="36">
        <v>6</v>
      </c>
      <c r="H10" s="37"/>
      <c r="I10" s="37"/>
      <c r="J10" s="38"/>
      <c r="K10" s="38"/>
      <c r="L10" s="39"/>
      <c r="M10" s="40"/>
      <c r="N10" s="41"/>
      <c r="O10" s="41"/>
      <c r="P10" s="63"/>
      <c r="Q10" s="61"/>
      <c r="R10" s="62">
        <f>R6*1.02</f>
        <v>39.229404000000009</v>
      </c>
      <c r="S10" s="185">
        <v>39.229999999999997</v>
      </c>
      <c r="T10" s="64">
        <f t="shared" si="4"/>
        <v>40.799199999999999</v>
      </c>
      <c r="U10" s="65">
        <v>40.799999999999997</v>
      </c>
      <c r="V10" s="66">
        <f t="shared" si="5"/>
        <v>285.59440000000001</v>
      </c>
      <c r="W10" s="202">
        <f t="shared" si="6"/>
        <v>47.075999999999993</v>
      </c>
      <c r="X10" s="67">
        <v>47.08</v>
      </c>
      <c r="Y10" s="68"/>
      <c r="Z10" s="69">
        <f t="shared" si="7"/>
        <v>285.59440000000001</v>
      </c>
      <c r="AA10" s="70">
        <f t="shared" si="8"/>
        <v>1264.7752</v>
      </c>
      <c r="AB10" s="70">
        <f>AC10/12</f>
        <v>1240.9756666666667</v>
      </c>
      <c r="AC10" s="71">
        <f t="shared" si="9"/>
        <v>14891.708000000001</v>
      </c>
      <c r="AD10" s="53">
        <f t="shared" si="10"/>
        <v>285.59999999999997</v>
      </c>
      <c r="AE10" s="54">
        <f t="shared" si="11"/>
        <v>1264.8</v>
      </c>
      <c r="AF10" s="54">
        <f>AG10/12</f>
        <v>1240.9999999999998</v>
      </c>
      <c r="AG10" s="54">
        <f t="shared" si="12"/>
        <v>14891.999999999998</v>
      </c>
      <c r="AH10" s="59">
        <f t="shared" si="13"/>
        <v>1318.1279999999997</v>
      </c>
      <c r="AI10" s="106">
        <f t="shared" si="14"/>
        <v>13749.330399999999</v>
      </c>
      <c r="AJ10" s="106">
        <f t="shared" si="15"/>
        <v>15067.4584</v>
      </c>
      <c r="AK10" s="106">
        <v>400</v>
      </c>
      <c r="AL10" s="109">
        <f t="shared" si="16"/>
        <v>1718.1279999999997</v>
      </c>
      <c r="AM10" s="57"/>
      <c r="AN10" s="111">
        <f t="shared" si="25"/>
        <v>285.59440000000001</v>
      </c>
      <c r="AO10" s="111">
        <f t="shared" si="17"/>
        <v>1318.1279999999997</v>
      </c>
      <c r="AP10" s="111"/>
      <c r="AQ10" s="111"/>
      <c r="AR10" s="111">
        <f t="shared" si="18"/>
        <v>1240.9756666666667</v>
      </c>
      <c r="AS10" s="58">
        <f t="shared" si="28"/>
        <v>1264.7752</v>
      </c>
      <c r="AT10" s="102"/>
      <c r="AU10" s="60">
        <f t="shared" si="20"/>
        <v>85913.7</v>
      </c>
    </row>
    <row r="11" spans="1:47" ht="15.75" x14ac:dyDescent="0.25">
      <c r="A11" s="34"/>
      <c r="B11" s="35"/>
      <c r="C11" s="35" t="s">
        <v>122</v>
      </c>
      <c r="D11" s="35"/>
      <c r="E11" s="36">
        <v>19</v>
      </c>
      <c r="F11" s="36"/>
      <c r="G11" s="36">
        <v>19</v>
      </c>
      <c r="H11" s="37"/>
      <c r="I11" s="37"/>
      <c r="J11" s="38"/>
      <c r="K11" s="38"/>
      <c r="L11" s="39"/>
      <c r="M11" s="40"/>
      <c r="N11" s="41"/>
      <c r="O11" s="41"/>
      <c r="P11" s="63"/>
      <c r="Q11" s="61"/>
      <c r="R11" s="62">
        <f>R7*1.05</f>
        <v>36.057210000000005</v>
      </c>
      <c r="S11" s="185">
        <v>36.06</v>
      </c>
      <c r="T11" s="64">
        <f t="shared" si="4"/>
        <v>37.502400000000002</v>
      </c>
      <c r="U11" s="65">
        <v>37.5</v>
      </c>
      <c r="V11" s="66">
        <f t="shared" si="5"/>
        <v>262.51679999999999</v>
      </c>
      <c r="W11" s="202">
        <f t="shared" si="6"/>
        <v>43.271999999999998</v>
      </c>
      <c r="X11" s="67">
        <v>43.27</v>
      </c>
      <c r="Y11" s="68"/>
      <c r="Z11" s="69">
        <f t="shared" si="7"/>
        <v>262.51679999999999</v>
      </c>
      <c r="AA11" s="70">
        <f t="shared" si="8"/>
        <v>1162.5744</v>
      </c>
      <c r="AB11" s="70">
        <f>AC11/12</f>
        <v>1140.6980000000001</v>
      </c>
      <c r="AC11" s="71">
        <f t="shared" si="9"/>
        <v>13688.376</v>
      </c>
      <c r="AD11" s="53">
        <f t="shared" si="10"/>
        <v>262.5</v>
      </c>
      <c r="AE11" s="54">
        <f t="shared" si="11"/>
        <v>1162.5</v>
      </c>
      <c r="AF11" s="54">
        <f>AG11/12</f>
        <v>1140.625</v>
      </c>
      <c r="AG11" s="54">
        <f t="shared" si="12"/>
        <v>13687.5</v>
      </c>
      <c r="AH11" s="59">
        <f t="shared" si="13"/>
        <v>1211.616</v>
      </c>
      <c r="AI11" s="106">
        <f t="shared" si="14"/>
        <v>12638.308800000001</v>
      </c>
      <c r="AJ11" s="106">
        <f t="shared" si="15"/>
        <v>13849.924800000001</v>
      </c>
      <c r="AK11" s="106">
        <v>400</v>
      </c>
      <c r="AL11" s="109">
        <f t="shared" si="16"/>
        <v>1611.616</v>
      </c>
      <c r="AM11" s="57"/>
      <c r="AN11" s="111">
        <f t="shared" si="25"/>
        <v>262.51679999999999</v>
      </c>
      <c r="AO11" s="111">
        <f t="shared" si="17"/>
        <v>1211.616</v>
      </c>
      <c r="AP11" s="111"/>
      <c r="AQ11" s="111"/>
      <c r="AR11" s="111">
        <f t="shared" si="18"/>
        <v>1140.6980000000001</v>
      </c>
      <c r="AS11" s="58">
        <f t="shared" si="28"/>
        <v>1162.5744</v>
      </c>
      <c r="AT11" s="102"/>
      <c r="AU11" s="60">
        <f t="shared" si="20"/>
        <v>250076.10000000003</v>
      </c>
    </row>
    <row r="12" spans="1:47" ht="15.75" x14ac:dyDescent="0.25">
      <c r="A12" s="34"/>
      <c r="B12" s="35"/>
      <c r="C12" s="35" t="s">
        <v>123</v>
      </c>
      <c r="D12" s="35"/>
      <c r="E12" s="36">
        <v>11</v>
      </c>
      <c r="F12" s="36"/>
      <c r="G12" s="36">
        <v>11</v>
      </c>
      <c r="H12" s="37"/>
      <c r="I12" s="37"/>
      <c r="J12" s="38"/>
      <c r="K12" s="38"/>
      <c r="L12" s="39"/>
      <c r="M12" s="40"/>
      <c r="N12" s="41"/>
      <c r="O12" s="41"/>
      <c r="P12" s="63"/>
      <c r="Q12" s="61"/>
      <c r="R12" s="62">
        <f>R7*1.02</f>
        <v>35.027004000000005</v>
      </c>
      <c r="S12" s="185">
        <v>35.020000000000003</v>
      </c>
      <c r="T12" s="64">
        <f t="shared" si="4"/>
        <v>36.420800000000007</v>
      </c>
      <c r="U12" s="65">
        <v>36.42</v>
      </c>
      <c r="V12" s="66">
        <f t="shared" si="5"/>
        <v>254.94560000000004</v>
      </c>
      <c r="W12" s="202">
        <f t="shared" si="6"/>
        <v>42.024000000000001</v>
      </c>
      <c r="X12" s="67">
        <v>42.02</v>
      </c>
      <c r="Y12" s="68"/>
      <c r="Z12" s="69">
        <f t="shared" si="7"/>
        <v>254.94560000000004</v>
      </c>
      <c r="AA12" s="70">
        <f t="shared" si="8"/>
        <v>1129.0448000000001</v>
      </c>
      <c r="AB12" s="70">
        <f>AC12/12</f>
        <v>1107.7993333333336</v>
      </c>
      <c r="AC12" s="71">
        <f t="shared" si="9"/>
        <v>13293.592000000002</v>
      </c>
      <c r="AD12" s="53">
        <f t="shared" si="10"/>
        <v>254.94</v>
      </c>
      <c r="AE12" s="54">
        <f t="shared" si="11"/>
        <v>1129.02</v>
      </c>
      <c r="AF12" s="54">
        <f>AG12/12</f>
        <v>1107.7750000000001</v>
      </c>
      <c r="AG12" s="54">
        <f t="shared" si="12"/>
        <v>13293.300000000001</v>
      </c>
      <c r="AH12" s="59">
        <f t="shared" si="13"/>
        <v>1176.672</v>
      </c>
      <c r="AI12" s="106">
        <f t="shared" si="14"/>
        <v>12273.809600000002</v>
      </c>
      <c r="AJ12" s="106">
        <f t="shared" si="15"/>
        <v>13450.481600000003</v>
      </c>
      <c r="AK12" s="106">
        <v>400</v>
      </c>
      <c r="AL12" s="109">
        <f t="shared" si="16"/>
        <v>1576.672</v>
      </c>
      <c r="AM12" s="57"/>
      <c r="AN12" s="111">
        <f t="shared" si="25"/>
        <v>254.94560000000004</v>
      </c>
      <c r="AO12" s="111">
        <f t="shared" si="17"/>
        <v>1176.672</v>
      </c>
      <c r="AP12" s="111"/>
      <c r="AQ12" s="111"/>
      <c r="AR12" s="111">
        <f t="shared" si="18"/>
        <v>1107.7993333333336</v>
      </c>
      <c r="AS12" s="58">
        <f t="shared" si="28"/>
        <v>1129.0448000000001</v>
      </c>
      <c r="AT12" s="102"/>
      <c r="AU12" s="60">
        <f t="shared" si="20"/>
        <v>140605.30000000002</v>
      </c>
    </row>
    <row r="13" spans="1:47" ht="15.75" x14ac:dyDescent="0.25">
      <c r="A13" s="34"/>
      <c r="B13" s="35"/>
      <c r="C13" s="35"/>
      <c r="D13" s="35"/>
      <c r="E13" s="35"/>
      <c r="F13" s="35"/>
      <c r="G13" s="36"/>
      <c r="H13" s="37"/>
      <c r="I13" s="37"/>
      <c r="J13" s="38"/>
      <c r="K13" s="38"/>
      <c r="L13" s="39"/>
      <c r="M13" s="40"/>
      <c r="N13" s="41"/>
      <c r="O13" s="41"/>
      <c r="P13" s="63"/>
      <c r="Q13" s="61"/>
      <c r="R13" s="62"/>
      <c r="S13" s="185"/>
      <c r="T13" s="64"/>
      <c r="U13" s="65"/>
      <c r="V13" s="66"/>
      <c r="W13" s="202"/>
      <c r="X13" s="67"/>
      <c r="Y13" s="68"/>
      <c r="Z13" s="69"/>
      <c r="AA13" s="70"/>
      <c r="AB13" s="70"/>
      <c r="AC13" s="71"/>
      <c r="AD13" s="53"/>
      <c r="AE13" s="54"/>
      <c r="AF13" s="54"/>
      <c r="AG13" s="54"/>
      <c r="AH13" s="59"/>
      <c r="AI13" s="106"/>
      <c r="AJ13" s="106"/>
      <c r="AK13" s="106"/>
      <c r="AL13" s="109"/>
      <c r="AM13" s="57"/>
      <c r="AN13" s="111"/>
      <c r="AO13" s="111"/>
      <c r="AP13" s="111"/>
      <c r="AQ13" s="111"/>
      <c r="AR13" s="111"/>
      <c r="AS13" s="58"/>
      <c r="AT13" s="102"/>
      <c r="AU13" s="60"/>
    </row>
    <row r="14" spans="1:47" ht="15.75" x14ac:dyDescent="0.25">
      <c r="A14" s="34"/>
      <c r="B14" s="35" t="s">
        <v>23</v>
      </c>
      <c r="C14" s="72" t="s">
        <v>35</v>
      </c>
      <c r="D14" s="73"/>
      <c r="E14" s="73">
        <f>G14*2</f>
        <v>8</v>
      </c>
      <c r="F14" s="73">
        <f>G14*2</f>
        <v>8</v>
      </c>
      <c r="G14" s="36">
        <v>4</v>
      </c>
      <c r="H14" s="37">
        <v>42.88</v>
      </c>
      <c r="I14" s="37">
        <v>1.01</v>
      </c>
      <c r="J14" s="38">
        <f t="shared" ref="J14" si="29">H14*I14</f>
        <v>43.308800000000005</v>
      </c>
      <c r="K14" s="38">
        <f t="shared" ref="K14" si="30">J14*1.04</f>
        <v>45.041152000000004</v>
      </c>
      <c r="L14" s="39">
        <f t="shared" ref="L14:L26" si="31">N14*1.04*7</f>
        <v>315.29680000000002</v>
      </c>
      <c r="M14" s="40">
        <f t="shared" ref="M14" si="32">N14*7</f>
        <v>303.17</v>
      </c>
      <c r="N14" s="41">
        <v>43.31</v>
      </c>
      <c r="O14" s="41">
        <f t="shared" si="22"/>
        <v>1661.0048000000002</v>
      </c>
      <c r="P14" s="63">
        <v>51.52</v>
      </c>
      <c r="Q14" s="61">
        <v>0.03</v>
      </c>
      <c r="R14" s="62">
        <f t="shared" si="3"/>
        <v>53.065600000000003</v>
      </c>
      <c r="S14" s="185">
        <v>53.07</v>
      </c>
      <c r="T14" s="64">
        <f t="shared" si="4"/>
        <v>55.192800000000005</v>
      </c>
      <c r="U14" s="65">
        <v>55.19</v>
      </c>
      <c r="V14" s="66">
        <f t="shared" si="5"/>
        <v>386.34960000000001</v>
      </c>
      <c r="W14" s="202">
        <f t="shared" si="6"/>
        <v>63.683999999999997</v>
      </c>
      <c r="X14" s="67">
        <v>63.68</v>
      </c>
      <c r="Y14" s="68"/>
      <c r="Z14" s="69">
        <f t="shared" si="7"/>
        <v>386.34960000000001</v>
      </c>
      <c r="AA14" s="70">
        <f t="shared" si="8"/>
        <v>1710.9768000000001</v>
      </c>
      <c r="AB14" s="70">
        <f t="shared" ref="AB14" si="33">AC14/12</f>
        <v>1678.7810000000002</v>
      </c>
      <c r="AC14" s="71">
        <f t="shared" si="9"/>
        <v>20145.372000000003</v>
      </c>
      <c r="AD14" s="53">
        <f t="shared" si="10"/>
        <v>386.33</v>
      </c>
      <c r="AE14" s="54">
        <f t="shared" si="11"/>
        <v>1710.8899999999999</v>
      </c>
      <c r="AF14" s="54">
        <f t="shared" ref="AF14" si="34">AG14/12</f>
        <v>1678.6958333333332</v>
      </c>
      <c r="AG14" s="54">
        <f t="shared" si="12"/>
        <v>20144.349999999999</v>
      </c>
      <c r="AH14" s="59">
        <f t="shared" si="13"/>
        <v>1783.152</v>
      </c>
      <c r="AI14" s="106">
        <f t="shared" si="14"/>
        <v>18599.973600000001</v>
      </c>
      <c r="AJ14" s="106">
        <f t="shared" si="15"/>
        <v>20383.125599999999</v>
      </c>
      <c r="AK14" s="106">
        <v>400</v>
      </c>
      <c r="AL14" s="109">
        <f t="shared" si="16"/>
        <v>2183.152</v>
      </c>
      <c r="AM14" s="57"/>
      <c r="AN14" s="111">
        <f t="shared" si="25"/>
        <v>386.34960000000001</v>
      </c>
      <c r="AO14" s="111">
        <f t="shared" si="17"/>
        <v>1783.152</v>
      </c>
      <c r="AP14" s="111">
        <f t="shared" si="26"/>
        <v>400</v>
      </c>
      <c r="AQ14" s="111">
        <f t="shared" si="27"/>
        <v>2183.152</v>
      </c>
      <c r="AR14" s="111">
        <f t="shared" si="18"/>
        <v>1678.7810000000002</v>
      </c>
      <c r="AS14" s="58">
        <f t="shared" si="28"/>
        <v>1710.9768000000001</v>
      </c>
      <c r="AT14" s="102">
        <f t="shared" si="19"/>
        <v>49.97199999999998</v>
      </c>
      <c r="AU14" s="60">
        <f t="shared" si="20"/>
        <v>77482.2</v>
      </c>
    </row>
    <row r="15" spans="1:47" ht="15.75" x14ac:dyDescent="0.25">
      <c r="A15" s="34"/>
      <c r="B15" s="35"/>
      <c r="C15" s="35"/>
      <c r="D15" s="35"/>
      <c r="E15" s="73"/>
      <c r="F15" s="73"/>
      <c r="G15" s="36"/>
      <c r="H15" s="37"/>
      <c r="I15" s="37"/>
      <c r="J15" s="38"/>
      <c r="K15" s="38"/>
      <c r="L15" s="39">
        <f t="shared" si="31"/>
        <v>0</v>
      </c>
      <c r="M15" s="40"/>
      <c r="N15" s="41"/>
      <c r="O15" s="41"/>
      <c r="P15" s="63"/>
      <c r="Q15" s="61"/>
      <c r="R15" s="62"/>
      <c r="S15" s="185"/>
      <c r="T15" s="64"/>
      <c r="U15" s="65"/>
      <c r="V15" s="66"/>
      <c r="W15" s="202"/>
      <c r="X15" s="67"/>
      <c r="Y15" s="68"/>
      <c r="Z15" s="69"/>
      <c r="AA15" s="70"/>
      <c r="AB15" s="70"/>
      <c r="AC15" s="71"/>
      <c r="AD15" s="53"/>
      <c r="AE15" s="54"/>
      <c r="AF15" s="54"/>
      <c r="AG15" s="54"/>
      <c r="AH15" s="59"/>
      <c r="AI15" s="106"/>
      <c r="AJ15" s="106"/>
      <c r="AK15" s="106"/>
      <c r="AL15" s="109"/>
      <c r="AM15" s="57"/>
      <c r="AN15" s="111"/>
      <c r="AO15" s="111"/>
      <c r="AP15" s="111"/>
      <c r="AQ15" s="111"/>
      <c r="AR15" s="111"/>
      <c r="AS15" s="58"/>
      <c r="AT15" s="102"/>
      <c r="AU15" s="60"/>
    </row>
    <row r="16" spans="1:47" ht="15.75" x14ac:dyDescent="0.25">
      <c r="A16" s="34" t="s">
        <v>36</v>
      </c>
      <c r="B16" s="35" t="s">
        <v>23</v>
      </c>
      <c r="C16" s="35" t="s">
        <v>37</v>
      </c>
      <c r="D16" s="35" t="s">
        <v>25</v>
      </c>
      <c r="E16" s="73">
        <f t="shared" ref="E16:E21" si="35">G16*2</f>
        <v>32</v>
      </c>
      <c r="F16" s="73">
        <f t="shared" ref="F16:F21" si="36">G16*2</f>
        <v>32</v>
      </c>
      <c r="G16" s="36">
        <v>16</v>
      </c>
      <c r="H16" s="37">
        <v>51.48</v>
      </c>
      <c r="I16" s="37">
        <v>1.01</v>
      </c>
      <c r="J16" s="38">
        <f t="shared" ref="J16:J21" si="37">H16*I16</f>
        <v>51.994799999999998</v>
      </c>
      <c r="K16" s="38">
        <f t="shared" ref="K16:K21" si="38">J16*1.04</f>
        <v>54.074592000000003</v>
      </c>
      <c r="L16" s="39">
        <f t="shared" si="31"/>
        <v>378.48720000000003</v>
      </c>
      <c r="M16" s="40">
        <f t="shared" ref="M16:M21" si="39">N16*7</f>
        <v>363.93</v>
      </c>
      <c r="N16" s="41">
        <v>51.99</v>
      </c>
      <c r="O16" s="41">
        <f t="shared" si="22"/>
        <v>1994.3664000000001</v>
      </c>
      <c r="P16" s="63">
        <v>61.86</v>
      </c>
      <c r="Q16" s="61">
        <v>0.03</v>
      </c>
      <c r="R16" s="62">
        <f t="shared" ref="R16:R21" si="40">P16*(1+Q16)</f>
        <v>63.715800000000002</v>
      </c>
      <c r="S16" s="185">
        <v>63.72</v>
      </c>
      <c r="T16" s="64">
        <f t="shared" ref="T16:T21" si="41">S16*1.04</f>
        <v>66.268799999999999</v>
      </c>
      <c r="U16" s="65">
        <v>66.27</v>
      </c>
      <c r="V16" s="66">
        <f t="shared" ref="V16:V21" si="42">T16*7</f>
        <v>463.88159999999999</v>
      </c>
      <c r="W16" s="202">
        <f t="shared" ref="W16:W21" si="43">S16*1.2</f>
        <v>76.463999999999999</v>
      </c>
      <c r="X16" s="67">
        <v>76.459999999999994</v>
      </c>
      <c r="Y16" s="103">
        <v>34.765500000000003</v>
      </c>
      <c r="Z16" s="69">
        <f t="shared" ref="Z16:Z21" si="44">T16*7</f>
        <v>463.88159999999999</v>
      </c>
      <c r="AA16" s="70">
        <f t="shared" ref="AA16:AA21" si="45">T16*31</f>
        <v>2054.3328000000001</v>
      </c>
      <c r="AB16" s="70">
        <f t="shared" ref="AB16:AB21" si="46">AC16/12</f>
        <v>2015.6760000000002</v>
      </c>
      <c r="AC16" s="71">
        <f t="shared" ref="AC16:AC21" si="47">T16*365</f>
        <v>24188.112000000001</v>
      </c>
      <c r="AD16" s="53">
        <f t="shared" ref="AD16:AD21" si="48">U16*7</f>
        <v>463.89</v>
      </c>
      <c r="AE16" s="54">
        <f t="shared" ref="AE16:AE21" si="49">31*U16</f>
        <v>2054.37</v>
      </c>
      <c r="AF16" s="54">
        <f t="shared" ref="AF16:AF21" si="50">AG16/12</f>
        <v>2015.7124999999999</v>
      </c>
      <c r="AG16" s="54">
        <f t="shared" ref="AG16:AG21" si="51">U16*365</f>
        <v>24188.55</v>
      </c>
      <c r="AH16" s="59">
        <f t="shared" ref="AH16:AH21" si="52">W16*28</f>
        <v>2140.9920000000002</v>
      </c>
      <c r="AI16" s="106">
        <f t="shared" ref="AI16:AI21" si="53">T16*337</f>
        <v>22332.585599999999</v>
      </c>
      <c r="AJ16" s="106">
        <f t="shared" ref="AJ16:AJ21" si="54">AH16+AI16</f>
        <v>24473.577599999997</v>
      </c>
      <c r="AK16" s="106">
        <v>750</v>
      </c>
      <c r="AL16" s="109">
        <f t="shared" ref="AL16:AL21" si="55">AH16+AK16</f>
        <v>2890.9920000000002</v>
      </c>
      <c r="AM16" s="105">
        <f>Y16</f>
        <v>34.765500000000003</v>
      </c>
      <c r="AN16" s="111">
        <f t="shared" si="25"/>
        <v>463.88159999999999</v>
      </c>
      <c r="AO16" s="111">
        <f t="shared" ref="AO16:AO21" si="56">AH16</f>
        <v>2140.9920000000002</v>
      </c>
      <c r="AP16" s="111">
        <f t="shared" ref="AP16:AP21" si="57">AK16</f>
        <v>750</v>
      </c>
      <c r="AQ16" s="111">
        <f t="shared" ref="AQ16:AQ21" si="58">AO16+AP16</f>
        <v>2890.9920000000002</v>
      </c>
      <c r="AR16" s="111">
        <f t="shared" ref="AR16:AR21" si="59">(T16*365)/12</f>
        <v>2015.6760000000002</v>
      </c>
      <c r="AS16" s="58">
        <f t="shared" si="28"/>
        <v>2054.3328000000001</v>
      </c>
      <c r="AT16" s="102">
        <f t="shared" ref="AT16:AT21" si="60">AS16-O16</f>
        <v>59.966400000000021</v>
      </c>
      <c r="AU16" s="60">
        <f t="shared" ref="AU16:AU21" si="61" xml:space="preserve"> (S16*365)*G16</f>
        <v>372124.8</v>
      </c>
    </row>
    <row r="17" spans="1:47" ht="15.75" x14ac:dyDescent="0.25">
      <c r="A17" s="34"/>
      <c r="B17" s="35" t="s">
        <v>23</v>
      </c>
      <c r="C17" s="35" t="s">
        <v>37</v>
      </c>
      <c r="D17" s="35" t="s">
        <v>27</v>
      </c>
      <c r="E17" s="73">
        <f t="shared" si="35"/>
        <v>14</v>
      </c>
      <c r="F17" s="73">
        <f t="shared" si="36"/>
        <v>14</v>
      </c>
      <c r="G17" s="36">
        <v>7</v>
      </c>
      <c r="H17" s="37">
        <v>50.76</v>
      </c>
      <c r="I17" s="37">
        <v>1.02</v>
      </c>
      <c r="J17" s="38">
        <f t="shared" si="37"/>
        <v>51.775199999999998</v>
      </c>
      <c r="K17" s="38">
        <f t="shared" si="38"/>
        <v>53.846207999999997</v>
      </c>
      <c r="L17" s="39">
        <f t="shared" si="31"/>
        <v>376.95840000000004</v>
      </c>
      <c r="M17" s="40">
        <f t="shared" si="39"/>
        <v>362.46000000000004</v>
      </c>
      <c r="N17" s="41">
        <v>51.78</v>
      </c>
      <c r="O17" s="41">
        <f t="shared" si="22"/>
        <v>1985.6616000000001</v>
      </c>
      <c r="P17" s="63">
        <v>61.59</v>
      </c>
      <c r="Q17" s="61">
        <v>0.01</v>
      </c>
      <c r="R17" s="62">
        <f t="shared" si="40"/>
        <v>62.205900000000007</v>
      </c>
      <c r="S17" s="185">
        <v>62.21</v>
      </c>
      <c r="T17" s="64">
        <f t="shared" si="41"/>
        <v>64.698400000000007</v>
      </c>
      <c r="U17" s="65">
        <v>64.7</v>
      </c>
      <c r="V17" s="66">
        <f t="shared" si="42"/>
        <v>452.88880000000006</v>
      </c>
      <c r="W17" s="202">
        <f t="shared" si="43"/>
        <v>74.652000000000001</v>
      </c>
      <c r="X17" s="67">
        <v>74.650000000000006</v>
      </c>
      <c r="Y17" s="103">
        <v>34.765500000000003</v>
      </c>
      <c r="Z17" s="69">
        <f t="shared" si="44"/>
        <v>452.88880000000006</v>
      </c>
      <c r="AA17" s="70">
        <f t="shared" si="45"/>
        <v>2005.6504000000002</v>
      </c>
      <c r="AB17" s="70">
        <f t="shared" si="46"/>
        <v>1967.9096666666667</v>
      </c>
      <c r="AC17" s="71">
        <f t="shared" si="47"/>
        <v>23614.916000000001</v>
      </c>
      <c r="AD17" s="53">
        <f t="shared" si="48"/>
        <v>452.90000000000003</v>
      </c>
      <c r="AE17" s="54">
        <f t="shared" si="49"/>
        <v>2005.7</v>
      </c>
      <c r="AF17" s="54">
        <f t="shared" si="50"/>
        <v>1967.9583333333333</v>
      </c>
      <c r="AG17" s="54">
        <f t="shared" si="51"/>
        <v>23615.5</v>
      </c>
      <c r="AH17" s="59">
        <f t="shared" si="52"/>
        <v>2090.2559999999999</v>
      </c>
      <c r="AI17" s="106">
        <f t="shared" si="53"/>
        <v>21803.360800000002</v>
      </c>
      <c r="AJ17" s="106">
        <f t="shared" si="54"/>
        <v>23893.616800000003</v>
      </c>
      <c r="AK17" s="106">
        <v>750</v>
      </c>
      <c r="AL17" s="109">
        <f t="shared" si="55"/>
        <v>2840.2559999999999</v>
      </c>
      <c r="AM17" s="105">
        <f t="shared" ref="AM17:AM21" si="62">Y17</f>
        <v>34.765500000000003</v>
      </c>
      <c r="AN17" s="111">
        <f t="shared" si="25"/>
        <v>452.88880000000006</v>
      </c>
      <c r="AO17" s="111">
        <f t="shared" si="56"/>
        <v>2090.2559999999999</v>
      </c>
      <c r="AP17" s="111">
        <f t="shared" si="57"/>
        <v>750</v>
      </c>
      <c r="AQ17" s="111">
        <f>AO17+AP17</f>
        <v>2840.2559999999999</v>
      </c>
      <c r="AR17" s="111">
        <f t="shared" si="59"/>
        <v>1967.9096666666667</v>
      </c>
      <c r="AS17" s="58">
        <f t="shared" si="28"/>
        <v>2005.6504000000002</v>
      </c>
      <c r="AT17" s="102">
        <f t="shared" si="60"/>
        <v>19.988800000000083</v>
      </c>
      <c r="AU17" s="60">
        <f t="shared" si="61"/>
        <v>158946.55000000002</v>
      </c>
    </row>
    <row r="18" spans="1:47" ht="15.75" x14ac:dyDescent="0.25">
      <c r="A18" s="34"/>
      <c r="B18" s="35" t="s">
        <v>23</v>
      </c>
      <c r="C18" s="35" t="s">
        <v>38</v>
      </c>
      <c r="D18" s="35"/>
      <c r="E18" s="73">
        <f t="shared" si="35"/>
        <v>84</v>
      </c>
      <c r="F18" s="73">
        <f t="shared" si="36"/>
        <v>84</v>
      </c>
      <c r="G18" s="36">
        <v>42</v>
      </c>
      <c r="H18" s="37">
        <v>60.74</v>
      </c>
      <c r="I18" s="37">
        <v>1.01</v>
      </c>
      <c r="J18" s="38">
        <f t="shared" si="37"/>
        <v>61.3474</v>
      </c>
      <c r="K18" s="38">
        <f t="shared" si="38"/>
        <v>63.801296000000001</v>
      </c>
      <c r="L18" s="39">
        <f t="shared" si="31"/>
        <v>446.62800000000004</v>
      </c>
      <c r="M18" s="40">
        <f t="shared" si="39"/>
        <v>429.45</v>
      </c>
      <c r="N18" s="41">
        <v>61.35</v>
      </c>
      <c r="O18" s="41">
        <f t="shared" si="22"/>
        <v>2353.1976</v>
      </c>
      <c r="P18" s="63">
        <v>72.989999999999995</v>
      </c>
      <c r="Q18" s="61">
        <v>0.03</v>
      </c>
      <c r="R18" s="62">
        <f t="shared" si="40"/>
        <v>75.179699999999997</v>
      </c>
      <c r="S18" s="185">
        <v>75.180000000000007</v>
      </c>
      <c r="T18" s="64">
        <f t="shared" si="41"/>
        <v>78.187200000000004</v>
      </c>
      <c r="U18" s="65">
        <v>78.19</v>
      </c>
      <c r="V18" s="66">
        <f t="shared" si="42"/>
        <v>547.31040000000007</v>
      </c>
      <c r="W18" s="202">
        <f t="shared" si="43"/>
        <v>90.216000000000008</v>
      </c>
      <c r="X18" s="67">
        <v>90.22</v>
      </c>
      <c r="Y18" s="103">
        <v>46.021500000000003</v>
      </c>
      <c r="Z18" s="69">
        <f t="shared" si="44"/>
        <v>547.31040000000007</v>
      </c>
      <c r="AA18" s="70">
        <f t="shared" si="45"/>
        <v>2423.8032000000003</v>
      </c>
      <c r="AB18" s="70">
        <f t="shared" si="46"/>
        <v>2378.194</v>
      </c>
      <c r="AC18" s="71">
        <f t="shared" si="47"/>
        <v>28538.328000000001</v>
      </c>
      <c r="AD18" s="53">
        <f t="shared" si="48"/>
        <v>547.32999999999993</v>
      </c>
      <c r="AE18" s="54">
        <f t="shared" si="49"/>
        <v>2423.89</v>
      </c>
      <c r="AF18" s="54">
        <f t="shared" si="50"/>
        <v>2378.2791666666667</v>
      </c>
      <c r="AG18" s="54">
        <f t="shared" si="51"/>
        <v>28539.35</v>
      </c>
      <c r="AH18" s="59">
        <f t="shared" si="52"/>
        <v>2526.0480000000002</v>
      </c>
      <c r="AI18" s="106">
        <f t="shared" si="53"/>
        <v>26349.0864</v>
      </c>
      <c r="AJ18" s="106">
        <f t="shared" si="54"/>
        <v>28875.134399999999</v>
      </c>
      <c r="AK18" s="106">
        <v>750</v>
      </c>
      <c r="AL18" s="109">
        <f t="shared" si="55"/>
        <v>3276.0480000000002</v>
      </c>
      <c r="AM18" s="105">
        <f t="shared" si="62"/>
        <v>46.021500000000003</v>
      </c>
      <c r="AN18" s="111">
        <f t="shared" si="25"/>
        <v>547.31040000000007</v>
      </c>
      <c r="AO18" s="111">
        <f t="shared" si="56"/>
        <v>2526.0480000000002</v>
      </c>
      <c r="AP18" s="111">
        <f t="shared" si="57"/>
        <v>750</v>
      </c>
      <c r="AQ18" s="111">
        <f>AO18+AP18</f>
        <v>3276.0480000000002</v>
      </c>
      <c r="AR18" s="111">
        <f t="shared" si="59"/>
        <v>2378.194</v>
      </c>
      <c r="AS18" s="58">
        <f t="shared" si="28"/>
        <v>2423.8032000000003</v>
      </c>
      <c r="AT18" s="102">
        <f t="shared" si="60"/>
        <v>70.605600000000322</v>
      </c>
      <c r="AU18" s="60">
        <f t="shared" si="61"/>
        <v>1152509.4000000001</v>
      </c>
    </row>
    <row r="19" spans="1:47" ht="15.75" x14ac:dyDescent="0.25">
      <c r="A19" s="34"/>
      <c r="B19" s="35" t="s">
        <v>23</v>
      </c>
      <c r="C19" s="35" t="s">
        <v>39</v>
      </c>
      <c r="D19" s="35"/>
      <c r="E19" s="73">
        <f t="shared" si="35"/>
        <v>42</v>
      </c>
      <c r="F19" s="73">
        <f t="shared" si="36"/>
        <v>42</v>
      </c>
      <c r="G19" s="36">
        <v>21</v>
      </c>
      <c r="H19" s="37">
        <v>64.930000000000007</v>
      </c>
      <c r="I19" s="37">
        <v>1.02</v>
      </c>
      <c r="J19" s="38">
        <f t="shared" si="37"/>
        <v>66.228600000000014</v>
      </c>
      <c r="K19" s="38">
        <f t="shared" si="38"/>
        <v>68.877744000000021</v>
      </c>
      <c r="L19" s="39">
        <f t="shared" si="31"/>
        <v>482.15440000000007</v>
      </c>
      <c r="M19" s="40">
        <f t="shared" si="39"/>
        <v>463.61</v>
      </c>
      <c r="N19" s="41">
        <v>66.23</v>
      </c>
      <c r="O19" s="41">
        <f t="shared" si="22"/>
        <v>2540.1896000000002</v>
      </c>
      <c r="P19" s="63">
        <v>78.790000000000006</v>
      </c>
      <c r="Q19" s="61">
        <v>0.03</v>
      </c>
      <c r="R19" s="62">
        <f t="shared" si="40"/>
        <v>81.153700000000015</v>
      </c>
      <c r="S19" s="185">
        <v>81.150000000000006</v>
      </c>
      <c r="T19" s="64">
        <f t="shared" si="41"/>
        <v>84.396000000000015</v>
      </c>
      <c r="U19" s="65">
        <v>84.4</v>
      </c>
      <c r="V19" s="66">
        <f t="shared" si="42"/>
        <v>590.77200000000016</v>
      </c>
      <c r="W19" s="202">
        <f t="shared" si="43"/>
        <v>97.38000000000001</v>
      </c>
      <c r="X19" s="67">
        <v>97.38</v>
      </c>
      <c r="Y19" s="103">
        <v>59.871000000000009</v>
      </c>
      <c r="Z19" s="69">
        <f t="shared" si="44"/>
        <v>590.77200000000016</v>
      </c>
      <c r="AA19" s="70">
        <f t="shared" si="45"/>
        <v>2616.2760000000003</v>
      </c>
      <c r="AB19" s="70">
        <f t="shared" si="46"/>
        <v>2567.0450000000005</v>
      </c>
      <c r="AC19" s="71">
        <f t="shared" si="47"/>
        <v>30804.540000000005</v>
      </c>
      <c r="AD19" s="53">
        <f t="shared" si="48"/>
        <v>590.80000000000007</v>
      </c>
      <c r="AE19" s="54">
        <f t="shared" si="49"/>
        <v>2616.4</v>
      </c>
      <c r="AF19" s="54">
        <f t="shared" si="50"/>
        <v>2567.166666666667</v>
      </c>
      <c r="AG19" s="54">
        <f t="shared" si="51"/>
        <v>30806.000000000004</v>
      </c>
      <c r="AH19" s="59">
        <f t="shared" si="52"/>
        <v>2726.6400000000003</v>
      </c>
      <c r="AI19" s="106">
        <f t="shared" si="53"/>
        <v>28441.452000000005</v>
      </c>
      <c r="AJ19" s="106">
        <f t="shared" si="54"/>
        <v>31168.092000000004</v>
      </c>
      <c r="AK19" s="106">
        <v>750</v>
      </c>
      <c r="AL19" s="109">
        <f t="shared" si="55"/>
        <v>3476.6400000000003</v>
      </c>
      <c r="AM19" s="105">
        <f t="shared" si="62"/>
        <v>59.871000000000009</v>
      </c>
      <c r="AN19" s="111">
        <f t="shared" si="25"/>
        <v>590.77200000000016</v>
      </c>
      <c r="AO19" s="111">
        <f t="shared" si="56"/>
        <v>2726.6400000000003</v>
      </c>
      <c r="AP19" s="111">
        <f t="shared" si="57"/>
        <v>750</v>
      </c>
      <c r="AQ19" s="111">
        <f t="shared" si="58"/>
        <v>3476.6400000000003</v>
      </c>
      <c r="AR19" s="111">
        <f t="shared" si="59"/>
        <v>2567.0450000000005</v>
      </c>
      <c r="AS19" s="58">
        <f t="shared" si="28"/>
        <v>2616.2760000000003</v>
      </c>
      <c r="AT19" s="102">
        <f t="shared" si="60"/>
        <v>76.08640000000014</v>
      </c>
      <c r="AU19" s="60">
        <f t="shared" si="61"/>
        <v>622014.75000000012</v>
      </c>
    </row>
    <row r="20" spans="1:47" ht="15.75" x14ac:dyDescent="0.25">
      <c r="A20" s="34"/>
      <c r="B20" s="35" t="s">
        <v>23</v>
      </c>
      <c r="C20" s="35" t="s">
        <v>40</v>
      </c>
      <c r="D20" s="35"/>
      <c r="E20" s="73">
        <f t="shared" si="35"/>
        <v>22</v>
      </c>
      <c r="F20" s="73">
        <f t="shared" si="36"/>
        <v>22</v>
      </c>
      <c r="G20" s="36">
        <v>11</v>
      </c>
      <c r="H20" s="37">
        <v>68.09</v>
      </c>
      <c r="I20" s="37">
        <v>1.02</v>
      </c>
      <c r="J20" s="38">
        <f t="shared" si="37"/>
        <v>69.451800000000006</v>
      </c>
      <c r="K20" s="38">
        <f t="shared" si="38"/>
        <v>72.229872000000015</v>
      </c>
      <c r="L20" s="39">
        <f t="shared" si="31"/>
        <v>505.59600000000006</v>
      </c>
      <c r="M20" s="40">
        <f t="shared" si="39"/>
        <v>486.15000000000003</v>
      </c>
      <c r="N20" s="41">
        <v>69.45</v>
      </c>
      <c r="O20" s="41">
        <f t="shared" si="22"/>
        <v>2663.3463999999999</v>
      </c>
      <c r="P20" s="63">
        <v>82.61</v>
      </c>
      <c r="Q20" s="61">
        <v>0.03</v>
      </c>
      <c r="R20" s="62">
        <f t="shared" si="40"/>
        <v>85.088300000000004</v>
      </c>
      <c r="S20" s="185">
        <v>85.09</v>
      </c>
      <c r="T20" s="64">
        <f t="shared" si="41"/>
        <v>88.493600000000001</v>
      </c>
      <c r="U20" s="65">
        <v>88.49</v>
      </c>
      <c r="V20" s="66">
        <f t="shared" si="42"/>
        <v>619.45519999999999</v>
      </c>
      <c r="W20" s="202">
        <f t="shared" si="43"/>
        <v>102.108</v>
      </c>
      <c r="X20" s="67">
        <v>102.11</v>
      </c>
      <c r="Y20" s="103">
        <v>72.912000000000006</v>
      </c>
      <c r="Z20" s="69">
        <f t="shared" si="44"/>
        <v>619.45519999999999</v>
      </c>
      <c r="AA20" s="70">
        <f t="shared" si="45"/>
        <v>2743.3016000000002</v>
      </c>
      <c r="AB20" s="70">
        <f t="shared" si="46"/>
        <v>2691.6803333333332</v>
      </c>
      <c r="AC20" s="71">
        <f t="shared" si="47"/>
        <v>32300.164000000001</v>
      </c>
      <c r="AD20" s="53">
        <f t="shared" si="48"/>
        <v>619.42999999999995</v>
      </c>
      <c r="AE20" s="54">
        <f t="shared" si="49"/>
        <v>2743.19</v>
      </c>
      <c r="AF20" s="54">
        <f t="shared" si="50"/>
        <v>2691.5708333333332</v>
      </c>
      <c r="AG20" s="54">
        <f t="shared" si="51"/>
        <v>32298.85</v>
      </c>
      <c r="AH20" s="59">
        <f t="shared" si="52"/>
        <v>2859.0240000000003</v>
      </c>
      <c r="AI20" s="106">
        <f t="shared" si="53"/>
        <v>29822.343199999999</v>
      </c>
      <c r="AJ20" s="106">
        <f t="shared" si="54"/>
        <v>32681.367200000001</v>
      </c>
      <c r="AK20" s="106">
        <v>750</v>
      </c>
      <c r="AL20" s="109">
        <f t="shared" si="55"/>
        <v>3609.0240000000003</v>
      </c>
      <c r="AM20" s="105">
        <f t="shared" si="62"/>
        <v>72.912000000000006</v>
      </c>
      <c r="AN20" s="111">
        <f t="shared" si="25"/>
        <v>619.45519999999999</v>
      </c>
      <c r="AO20" s="111">
        <f t="shared" si="56"/>
        <v>2859.0240000000003</v>
      </c>
      <c r="AP20" s="111">
        <f t="shared" si="57"/>
        <v>750</v>
      </c>
      <c r="AQ20" s="111">
        <f t="shared" si="58"/>
        <v>3609.0240000000003</v>
      </c>
      <c r="AR20" s="111">
        <f t="shared" si="59"/>
        <v>2691.6803333333332</v>
      </c>
      <c r="AS20" s="58">
        <f t="shared" si="28"/>
        <v>2743.3016000000002</v>
      </c>
      <c r="AT20" s="102">
        <f t="shared" si="60"/>
        <v>79.955200000000332</v>
      </c>
      <c r="AU20" s="60">
        <f t="shared" si="61"/>
        <v>341636.35000000003</v>
      </c>
    </row>
    <row r="21" spans="1:47" ht="15.75" x14ac:dyDescent="0.25">
      <c r="A21" s="34"/>
      <c r="B21" s="35" t="s">
        <v>23</v>
      </c>
      <c r="C21" s="35" t="s">
        <v>41</v>
      </c>
      <c r="D21" s="35"/>
      <c r="E21" s="73">
        <f t="shared" si="35"/>
        <v>4</v>
      </c>
      <c r="F21" s="73">
        <f t="shared" si="36"/>
        <v>4</v>
      </c>
      <c r="G21" s="36">
        <v>2</v>
      </c>
      <c r="H21" s="37">
        <v>76.25</v>
      </c>
      <c r="I21" s="37">
        <v>1.02</v>
      </c>
      <c r="J21" s="38">
        <f t="shared" si="37"/>
        <v>77.775000000000006</v>
      </c>
      <c r="K21" s="38">
        <f t="shared" si="38"/>
        <v>80.88600000000001</v>
      </c>
      <c r="L21" s="39">
        <f t="shared" si="31"/>
        <v>566.23839999999996</v>
      </c>
      <c r="M21" s="40">
        <f t="shared" si="39"/>
        <v>544.46</v>
      </c>
      <c r="N21" s="41">
        <v>77.78</v>
      </c>
      <c r="O21" s="41">
        <f t="shared" si="22"/>
        <v>2983.1671999999999</v>
      </c>
      <c r="P21" s="63">
        <v>92.53</v>
      </c>
      <c r="Q21" s="61">
        <v>0.03</v>
      </c>
      <c r="R21" s="62">
        <f t="shared" si="40"/>
        <v>95.305900000000008</v>
      </c>
      <c r="S21" s="185">
        <v>95.31</v>
      </c>
      <c r="T21" s="64">
        <f t="shared" si="41"/>
        <v>99.122399999999999</v>
      </c>
      <c r="U21" s="65">
        <v>99.12</v>
      </c>
      <c r="V21" s="66">
        <f t="shared" si="42"/>
        <v>693.85680000000002</v>
      </c>
      <c r="W21" s="202">
        <f t="shared" si="43"/>
        <v>114.372</v>
      </c>
      <c r="X21" s="67">
        <v>114.37</v>
      </c>
      <c r="Y21" s="103">
        <v>76.902000000000001</v>
      </c>
      <c r="Z21" s="69">
        <f t="shared" si="44"/>
        <v>693.85680000000002</v>
      </c>
      <c r="AA21" s="70">
        <f t="shared" si="45"/>
        <v>3072.7943999999998</v>
      </c>
      <c r="AB21" s="70">
        <f t="shared" si="46"/>
        <v>3014.973</v>
      </c>
      <c r="AC21" s="71">
        <f t="shared" si="47"/>
        <v>36179.675999999999</v>
      </c>
      <c r="AD21" s="53">
        <f t="shared" si="48"/>
        <v>693.84</v>
      </c>
      <c r="AE21" s="54">
        <f t="shared" si="49"/>
        <v>3072.7200000000003</v>
      </c>
      <c r="AF21" s="54">
        <f t="shared" si="50"/>
        <v>3014.9</v>
      </c>
      <c r="AG21" s="54">
        <f t="shared" si="51"/>
        <v>36178.800000000003</v>
      </c>
      <c r="AH21" s="59">
        <f t="shared" si="52"/>
        <v>3202.4160000000002</v>
      </c>
      <c r="AI21" s="106">
        <f t="shared" si="53"/>
        <v>33404.248800000001</v>
      </c>
      <c r="AJ21" s="106">
        <f t="shared" si="54"/>
        <v>36606.664799999999</v>
      </c>
      <c r="AK21" s="106">
        <v>750</v>
      </c>
      <c r="AL21" s="109">
        <f t="shared" si="55"/>
        <v>3952.4160000000002</v>
      </c>
      <c r="AM21" s="105">
        <f t="shared" si="62"/>
        <v>76.902000000000001</v>
      </c>
      <c r="AN21" s="111">
        <f t="shared" si="25"/>
        <v>693.85680000000002</v>
      </c>
      <c r="AO21" s="111">
        <f t="shared" si="56"/>
        <v>3202.4160000000002</v>
      </c>
      <c r="AP21" s="111">
        <f t="shared" si="57"/>
        <v>750</v>
      </c>
      <c r="AQ21" s="111">
        <f t="shared" si="58"/>
        <v>3952.4160000000002</v>
      </c>
      <c r="AR21" s="111">
        <f t="shared" si="59"/>
        <v>3014.973</v>
      </c>
      <c r="AS21" s="58">
        <f t="shared" si="28"/>
        <v>3072.7943999999998</v>
      </c>
      <c r="AT21" s="102">
        <f t="shared" si="60"/>
        <v>89.627199999999903</v>
      </c>
      <c r="AU21" s="60">
        <f t="shared" si="61"/>
        <v>69576.3</v>
      </c>
    </row>
    <row r="22" spans="1:47" ht="15.75" x14ac:dyDescent="0.25">
      <c r="A22" s="74"/>
      <c r="B22" s="75"/>
      <c r="C22" s="35"/>
      <c r="D22" s="35"/>
      <c r="E22" s="35">
        <f>SUM(E3:E21)</f>
        <v>764</v>
      </c>
      <c r="F22" s="35">
        <f>SUM(F3:F21)</f>
        <v>676</v>
      </c>
      <c r="G22" s="36">
        <f>SUM(G2:G21)</f>
        <v>639</v>
      </c>
      <c r="H22" s="37"/>
      <c r="I22" s="37"/>
      <c r="J22" s="37"/>
      <c r="K22" s="38"/>
      <c r="L22" s="39">
        <f t="shared" si="31"/>
        <v>0</v>
      </c>
      <c r="M22" s="40"/>
      <c r="N22" s="37"/>
      <c r="O22" s="37"/>
      <c r="P22" s="63"/>
      <c r="Q22" s="61"/>
      <c r="R22" s="62"/>
      <c r="S22" s="185"/>
      <c r="T22" s="64"/>
      <c r="U22" s="65"/>
      <c r="V22" s="66"/>
      <c r="W22" s="202"/>
      <c r="X22" s="67"/>
      <c r="Y22" s="103"/>
      <c r="Z22" s="69"/>
      <c r="AA22" s="70"/>
      <c r="AB22" s="70"/>
      <c r="AC22" s="71"/>
      <c r="AD22" s="53"/>
      <c r="AE22" s="54"/>
      <c r="AF22" s="54"/>
      <c r="AG22" s="54"/>
      <c r="AH22" s="59"/>
      <c r="AI22" s="106"/>
      <c r="AJ22" s="106"/>
      <c r="AK22" s="106"/>
      <c r="AL22" s="109"/>
      <c r="AM22" s="105"/>
      <c r="AN22" s="111"/>
      <c r="AO22" s="111"/>
      <c r="AP22" s="111"/>
      <c r="AQ22" s="111"/>
      <c r="AR22" s="111"/>
      <c r="AS22" s="58"/>
    </row>
    <row r="23" spans="1:47" ht="15.75" x14ac:dyDescent="0.25">
      <c r="A23" s="34" t="s">
        <v>36</v>
      </c>
      <c r="B23" s="35" t="s">
        <v>42</v>
      </c>
      <c r="C23" s="35" t="s">
        <v>38</v>
      </c>
      <c r="D23" s="35"/>
      <c r="E23" s="35"/>
      <c r="F23" s="35"/>
      <c r="G23" s="36"/>
      <c r="H23" s="37">
        <v>51.48</v>
      </c>
      <c r="I23" s="37">
        <v>1.01</v>
      </c>
      <c r="J23" s="38">
        <f>J16</f>
        <v>51.994799999999998</v>
      </c>
      <c r="K23" s="38">
        <f t="shared" ref="K23:K26" si="63">J23*1.04</f>
        <v>54.074592000000003</v>
      </c>
      <c r="L23" s="39">
        <f t="shared" si="31"/>
        <v>378.48720000000003</v>
      </c>
      <c r="M23" s="40">
        <f>N23*7</f>
        <v>363.93</v>
      </c>
      <c r="N23" s="41">
        <v>51.99</v>
      </c>
      <c r="O23" s="41"/>
      <c r="P23" s="63"/>
      <c r="Q23" s="61"/>
      <c r="R23" s="62"/>
      <c r="S23" s="185"/>
      <c r="T23" s="64"/>
      <c r="U23" s="65"/>
      <c r="V23" s="66"/>
      <c r="W23" s="202"/>
      <c r="X23" s="67"/>
      <c r="Y23" s="103"/>
      <c r="Z23" s="69"/>
      <c r="AA23" s="70"/>
      <c r="AB23" s="70"/>
      <c r="AC23" s="71"/>
      <c r="AD23" s="53"/>
      <c r="AE23" s="54"/>
      <c r="AF23" s="54"/>
      <c r="AG23" s="54"/>
      <c r="AH23" s="59"/>
      <c r="AI23" s="106"/>
      <c r="AJ23" s="106"/>
      <c r="AK23" s="106"/>
      <c r="AL23" s="109"/>
      <c r="AM23" s="105"/>
      <c r="AN23" s="111"/>
      <c r="AO23" s="111"/>
      <c r="AP23" s="111"/>
      <c r="AQ23" s="111"/>
      <c r="AR23" s="111"/>
      <c r="AS23" s="58"/>
    </row>
    <row r="24" spans="1:47" ht="15.75" x14ac:dyDescent="0.25">
      <c r="A24" s="34"/>
      <c r="B24" s="35" t="s">
        <v>42</v>
      </c>
      <c r="C24" s="35" t="s">
        <v>39</v>
      </c>
      <c r="D24" s="35"/>
      <c r="E24" s="35"/>
      <c r="F24" s="35"/>
      <c r="G24" s="36"/>
      <c r="H24" s="37">
        <v>60.74</v>
      </c>
      <c r="I24" s="37">
        <v>1.02</v>
      </c>
      <c r="J24" s="38">
        <f>J18</f>
        <v>61.3474</v>
      </c>
      <c r="K24" s="38">
        <f t="shared" si="63"/>
        <v>63.801296000000001</v>
      </c>
      <c r="L24" s="39">
        <f t="shared" si="31"/>
        <v>446.62800000000004</v>
      </c>
      <c r="M24" s="40">
        <f>N24*7</f>
        <v>429.45</v>
      </c>
      <c r="N24" s="41">
        <v>61.35</v>
      </c>
      <c r="O24" s="41"/>
      <c r="P24" s="63"/>
      <c r="Q24" s="61"/>
      <c r="R24" s="62"/>
      <c r="S24" s="185"/>
      <c r="T24" s="64"/>
      <c r="U24" s="65"/>
      <c r="V24" s="66"/>
      <c r="W24" s="202"/>
      <c r="X24" s="67"/>
      <c r="Y24" s="103"/>
      <c r="Z24" s="69"/>
      <c r="AA24" s="70"/>
      <c r="AB24" s="70"/>
      <c r="AC24" s="71"/>
      <c r="AD24" s="53"/>
      <c r="AE24" s="54"/>
      <c r="AF24" s="54"/>
      <c r="AG24" s="54"/>
      <c r="AH24" s="59"/>
      <c r="AI24" s="106"/>
      <c r="AJ24" s="106"/>
      <c r="AK24" s="106"/>
      <c r="AL24" s="109"/>
      <c r="AM24" s="105"/>
      <c r="AN24" s="111"/>
      <c r="AO24" s="111"/>
      <c r="AP24" s="111"/>
      <c r="AQ24" s="111"/>
      <c r="AR24" s="111"/>
      <c r="AS24" s="58"/>
    </row>
    <row r="25" spans="1:47" ht="15.75" x14ac:dyDescent="0.25">
      <c r="A25" s="34"/>
      <c r="B25" s="35" t="s">
        <v>42</v>
      </c>
      <c r="C25" s="35" t="s">
        <v>40</v>
      </c>
      <c r="D25" s="35"/>
      <c r="E25" s="35"/>
      <c r="F25" s="35"/>
      <c r="G25" s="36"/>
      <c r="H25" s="37">
        <v>64.930000000000007</v>
      </c>
      <c r="I25" s="37">
        <v>1.02</v>
      </c>
      <c r="J25" s="38">
        <f>J19</f>
        <v>66.228600000000014</v>
      </c>
      <c r="K25" s="38">
        <f t="shared" si="63"/>
        <v>68.877744000000021</v>
      </c>
      <c r="L25" s="39">
        <f t="shared" si="31"/>
        <v>482.15440000000007</v>
      </c>
      <c r="M25" s="40">
        <f>N25*7</f>
        <v>463.61</v>
      </c>
      <c r="N25" s="41">
        <v>66.23</v>
      </c>
      <c r="O25" s="41"/>
      <c r="P25" s="63"/>
      <c r="Q25" s="61"/>
      <c r="R25" s="62"/>
      <c r="S25" s="185"/>
      <c r="T25" s="64"/>
      <c r="U25" s="65"/>
      <c r="V25" s="66"/>
      <c r="W25" s="202"/>
      <c r="X25" s="67"/>
      <c r="Y25" s="103"/>
      <c r="Z25" s="69"/>
      <c r="AA25" s="70"/>
      <c r="AB25" s="70"/>
      <c r="AC25" s="71"/>
      <c r="AD25" s="53"/>
      <c r="AE25" s="54"/>
      <c r="AF25" s="54"/>
      <c r="AG25" s="54"/>
      <c r="AH25" s="59"/>
      <c r="AI25" s="106"/>
      <c r="AJ25" s="106"/>
      <c r="AK25" s="106"/>
      <c r="AL25" s="109"/>
      <c r="AM25" s="105"/>
      <c r="AN25" s="111"/>
      <c r="AO25" s="111"/>
      <c r="AP25" s="111"/>
      <c r="AQ25" s="111"/>
      <c r="AR25" s="111"/>
      <c r="AS25" s="58"/>
    </row>
    <row r="26" spans="1:47" ht="16.5" thickBot="1" x14ac:dyDescent="0.3">
      <c r="A26" s="76"/>
      <c r="B26" s="77" t="s">
        <v>42</v>
      </c>
      <c r="C26" s="77" t="s">
        <v>41</v>
      </c>
      <c r="D26" s="77"/>
      <c r="E26" s="77"/>
      <c r="F26" s="77"/>
      <c r="G26" s="78"/>
      <c r="H26" s="79">
        <v>68.09</v>
      </c>
      <c r="I26" s="79">
        <v>1.02</v>
      </c>
      <c r="J26" s="80">
        <f>J20</f>
        <v>69.451800000000006</v>
      </c>
      <c r="K26" s="80">
        <f t="shared" si="63"/>
        <v>72.229872000000015</v>
      </c>
      <c r="L26" s="81">
        <f t="shared" si="31"/>
        <v>505.59600000000006</v>
      </c>
      <c r="M26" s="82">
        <f>N26*7</f>
        <v>486.15000000000003</v>
      </c>
      <c r="N26" s="83">
        <v>69.45</v>
      </c>
      <c r="O26" s="83"/>
      <c r="P26" s="87"/>
      <c r="Q26" s="85"/>
      <c r="R26" s="86"/>
      <c r="S26" s="186"/>
      <c r="T26" s="88"/>
      <c r="U26" s="89"/>
      <c r="V26" s="90"/>
      <c r="W26" s="203"/>
      <c r="X26" s="91"/>
      <c r="Y26" s="104"/>
      <c r="Z26" s="92"/>
      <c r="AA26" s="93"/>
      <c r="AB26" s="93"/>
      <c r="AC26" s="94"/>
      <c r="AD26" s="95"/>
      <c r="AE26" s="96"/>
      <c r="AF26" s="96"/>
      <c r="AG26" s="96"/>
      <c r="AH26" s="97"/>
      <c r="AI26" s="84"/>
      <c r="AJ26" s="84"/>
      <c r="AK26" s="84"/>
      <c r="AL26" s="110"/>
      <c r="AM26" s="190"/>
      <c r="AN26" s="98"/>
      <c r="AO26" s="98"/>
      <c r="AP26" s="98"/>
      <c r="AQ26" s="98"/>
      <c r="AR26" s="98"/>
      <c r="AS26" s="99"/>
    </row>
    <row r="27" spans="1:47" x14ac:dyDescent="0.25">
      <c r="G27" s="100"/>
      <c r="U27" s="60">
        <f>U3*14</f>
        <v>731.5</v>
      </c>
      <c r="Y27" s="60"/>
    </row>
    <row r="28" spans="1:47" x14ac:dyDescent="0.25">
      <c r="V28" s="60">
        <f>U7*15</f>
        <v>535.65</v>
      </c>
      <c r="Y28" s="60"/>
      <c r="AC28" s="60"/>
      <c r="AH28" s="60">
        <f>AH8</f>
        <v>1688.0639999999999</v>
      </c>
      <c r="AL28" s="60">
        <f>AJ3-14800</f>
        <v>4496.1791999999987</v>
      </c>
    </row>
    <row r="29" spans="1:47" x14ac:dyDescent="0.25">
      <c r="C29" s="60">
        <f>T7*1.05</f>
        <v>37.499280000000006</v>
      </c>
      <c r="R29" s="101">
        <f>313-28</f>
        <v>285</v>
      </c>
      <c r="U29" s="60">
        <f>U3*15</f>
        <v>783.75</v>
      </c>
      <c r="V29" s="60">
        <f>15*U6</f>
        <v>600</v>
      </c>
      <c r="Y29" s="60"/>
      <c r="Z29" s="60"/>
      <c r="AC29" s="60"/>
      <c r="AH29" s="102">
        <f>T8*284</f>
        <v>14838.886399999999</v>
      </c>
    </row>
    <row r="30" spans="1:47" x14ac:dyDescent="0.25">
      <c r="C30" s="102">
        <f>T7*1.02</f>
        <v>36.427872000000008</v>
      </c>
      <c r="R30" s="101">
        <f>285*T6</f>
        <v>11399.544000000002</v>
      </c>
      <c r="U30">
        <v>3288.56</v>
      </c>
      <c r="Y30" s="60"/>
      <c r="Z30" s="60"/>
      <c r="AC30" s="60"/>
      <c r="AH30" s="102">
        <f>AH29+AH28</f>
        <v>16526.950399999998</v>
      </c>
    </row>
    <row r="31" spans="1:47" x14ac:dyDescent="0.25">
      <c r="C31" s="102">
        <f>T6*1.05</f>
        <v>41.998320000000007</v>
      </c>
      <c r="R31" s="101">
        <f>R30+AH6</f>
        <v>12691.800000000001</v>
      </c>
      <c r="U31" s="60">
        <f>U29+U30</f>
        <v>4072.31</v>
      </c>
      <c r="Z31" s="60"/>
      <c r="AC31" s="60"/>
    </row>
    <row r="32" spans="1:47" x14ac:dyDescent="0.25">
      <c r="C32" s="102">
        <f>T6*1.02</f>
        <v>40.798368000000004</v>
      </c>
      <c r="Z32" s="60"/>
    </row>
    <row r="33" spans="26:28" x14ac:dyDescent="0.25">
      <c r="Z33" s="60"/>
    </row>
    <row r="34" spans="26:28" x14ac:dyDescent="0.25">
      <c r="Z34" s="60"/>
      <c r="AB34" s="60"/>
    </row>
    <row r="36" spans="26:28" x14ac:dyDescent="0.25">
      <c r="Z36" s="60"/>
    </row>
  </sheetData>
  <mergeCells count="7">
    <mergeCell ref="AN1:AS1"/>
    <mergeCell ref="Q1:S1"/>
    <mergeCell ref="T1:V1"/>
    <mergeCell ref="W1:X1"/>
    <mergeCell ref="Z1:AC1"/>
    <mergeCell ref="AD1:AG1"/>
    <mergeCell ref="AH1:A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211A4F3E906948A2189337B0F9AD24" ma:contentTypeVersion="12" ma:contentTypeDescription="Create a new document." ma:contentTypeScope="" ma:versionID="8573e377e8063842e957ed7010b8cbad">
  <xsd:schema xmlns:xsd="http://www.w3.org/2001/XMLSchema" xmlns:xs="http://www.w3.org/2001/XMLSchema" xmlns:p="http://schemas.microsoft.com/office/2006/metadata/properties" xmlns:ns2="56e6dfb6-e329-4514-8328-d3abdb476c46" xmlns:ns3="71050709-8ae4-4398-a830-98047465de3f" targetNamespace="http://schemas.microsoft.com/office/2006/metadata/properties" ma:root="true" ma:fieldsID="2b6b6adffe899ca001c81158eb65e6ae" ns2:_="" ns3:_="">
    <xsd:import namespace="56e6dfb6-e329-4514-8328-d3abdb476c46"/>
    <xsd:import namespace="71050709-8ae4-4398-a830-98047465de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6dfb6-e329-4514-8328-d3abdb476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4a44e24-bbf1-4a29-91b5-955ffe39fa9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50709-8ae4-4398-a830-98047465de3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805a72-ba66-4617-88e9-ea50ac9aaa2c}" ma:internalName="TaxCatchAll" ma:showField="CatchAllData" ma:web="71050709-8ae4-4398-a830-98047465de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e6dfb6-e329-4514-8328-d3abdb476c46">
      <Terms xmlns="http://schemas.microsoft.com/office/infopath/2007/PartnerControls"/>
    </lcf76f155ced4ddcb4097134ff3c332f>
    <TaxCatchAll xmlns="71050709-8ae4-4398-a830-98047465de3f" xsi:nil="true"/>
  </documentManagement>
</p:properties>
</file>

<file path=customXml/itemProps1.xml><?xml version="1.0" encoding="utf-8"?>
<ds:datastoreItem xmlns:ds="http://schemas.openxmlformats.org/officeDocument/2006/customXml" ds:itemID="{DC701CE2-0DA8-4CF9-880B-F4A66B8E736F}">
  <ds:schemaRefs>
    <ds:schemaRef ds:uri="http://schemas.microsoft.com/sharepoint/v3/contenttype/forms"/>
  </ds:schemaRefs>
</ds:datastoreItem>
</file>

<file path=customXml/itemProps2.xml><?xml version="1.0" encoding="utf-8"?>
<ds:datastoreItem xmlns:ds="http://schemas.openxmlformats.org/officeDocument/2006/customXml" ds:itemID="{5CA7F8A7-68F0-4F95-BEF0-650897AEE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6dfb6-e329-4514-8328-d3abdb476c46"/>
    <ds:schemaRef ds:uri="71050709-8ae4-4398-a830-98047465d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0F1CAC-D200-4A2C-82C5-61C2489BAAFC}">
  <ds:schemaRefs>
    <ds:schemaRef ds:uri="http://purl.org/dc/elements/1.1/"/>
    <ds:schemaRef ds:uri="http://schemas.microsoft.com/office/2006/documentManagement/types"/>
    <ds:schemaRef ds:uri="71050709-8ae4-4398-a830-98047465de3f"/>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56e6dfb6-e329-4514-8328-d3abdb476c4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Master</vt:lpstr>
      <vt:lpstr>For website (updated)</vt:lpstr>
      <vt:lpstr>Monthly rents website (updated)</vt:lpstr>
      <vt:lpstr>Rent for Portal pages  (not upd</vt:lpstr>
      <vt:lpstr>Rent for Renewal portal  (not u</vt:lpstr>
      <vt:lpstr>Master + 43-47 predictions  (no</vt:lpstr>
    </vt:vector>
  </TitlesOfParts>
  <Company>Goodenough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Iwona Newton</dc:creator>
  <cp:lastModifiedBy>Caroline Persaud</cp:lastModifiedBy>
  <cp:lastPrinted>2025-11-05T14:05:59Z</cp:lastPrinted>
  <dcterms:created xsi:type="dcterms:W3CDTF">2024-01-11T09:40:12Z</dcterms:created>
  <dcterms:modified xsi:type="dcterms:W3CDTF">2026-01-27T16:44:17Z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0x010100E8211A4F3E906948A2189337B0F9AD24</vt:lpwstr>
  </property>
</Properties>
</file>